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мулк" sheetId="3" r:id="rId1"/>
    <sheet name="авто" sheetId="4" r:id="rId2"/>
    <sheet name="курилиши тугалланмаган" sheetId="5" r:id="rId3"/>
  </sheets>
  <definedNames>
    <definedName name="_Hlk112447305" localSheetId="1">авто!$A$4</definedName>
    <definedName name="_xlnm._FilterDatabase" localSheetId="0" hidden="1">мулк!$A$11:$N$295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4" l="1"/>
  <c r="J27" i="4"/>
  <c r="H27" i="4"/>
  <c r="L26" i="4"/>
  <c r="L25" i="4"/>
  <c r="I286" i="3"/>
  <c r="J286" i="3"/>
  <c r="H286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H238" i="3"/>
  <c r="I237" i="3"/>
  <c r="H237" i="3"/>
  <c r="I236" i="3"/>
  <c r="H236" i="3"/>
  <c r="I147" i="3" l="1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J140" i="3"/>
  <c r="I140" i="3"/>
  <c r="H140" i="3"/>
  <c r="J139" i="3"/>
  <c r="I139" i="3"/>
  <c r="H139" i="3"/>
  <c r="J138" i="3"/>
  <c r="I138" i="3"/>
  <c r="H138" i="3"/>
  <c r="J137" i="3"/>
  <c r="I137" i="3"/>
  <c r="H137" i="3"/>
  <c r="J136" i="3"/>
  <c r="I136" i="3"/>
  <c r="H136" i="3"/>
  <c r="J135" i="3"/>
  <c r="I135" i="3"/>
  <c r="H135" i="3"/>
  <c r="J134" i="3"/>
  <c r="I134" i="3"/>
  <c r="H134" i="3"/>
  <c r="J133" i="3"/>
  <c r="I133" i="3"/>
  <c r="H133" i="3"/>
  <c r="J132" i="3"/>
  <c r="I132" i="3"/>
  <c r="H132" i="3"/>
  <c r="J131" i="3"/>
  <c r="I131" i="3"/>
  <c r="H131" i="3"/>
  <c r="J130" i="3"/>
  <c r="I130" i="3"/>
  <c r="H130" i="3"/>
  <c r="J129" i="3"/>
  <c r="I129" i="3"/>
  <c r="H129" i="3"/>
  <c r="J128" i="3"/>
  <c r="I128" i="3"/>
  <c r="H128" i="3"/>
  <c r="J127" i="3"/>
  <c r="I127" i="3"/>
  <c r="H127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J114" i="3"/>
  <c r="I114" i="3"/>
  <c r="H114" i="3"/>
  <c r="J113" i="3"/>
  <c r="I113" i="3"/>
  <c r="H113" i="3"/>
  <c r="I19" i="4"/>
  <c r="J19" i="4"/>
  <c r="H19" i="4"/>
  <c r="D10" i="5" l="1"/>
  <c r="D9" i="5"/>
  <c r="D8" i="5"/>
  <c r="D11" i="5" l="1"/>
  <c r="H101" i="3"/>
  <c r="I100" i="3"/>
  <c r="H100" i="3"/>
  <c r="J99" i="3"/>
  <c r="J149" i="3" s="1"/>
  <c r="I99" i="3"/>
  <c r="I149" i="3" s="1"/>
  <c r="H99" i="3"/>
  <c r="H149" i="3" s="1"/>
  <c r="J294" i="3" l="1"/>
  <c r="I294" i="3"/>
  <c r="H294" i="3"/>
  <c r="J290" i="3"/>
  <c r="I290" i="3"/>
  <c r="H290" i="3"/>
  <c r="I295" i="3" l="1"/>
  <c r="H295" i="3"/>
  <c r="J295" i="3" l="1"/>
</calcChain>
</file>

<file path=xl/sharedStrings.xml><?xml version="1.0" encoding="utf-8"?>
<sst xmlns="http://schemas.openxmlformats.org/spreadsheetml/2006/main" count="1172" uniqueCount="145">
  <si>
    <t>MA’LUMOTLAR</t>
  </si>
  <si>
    <t>T/r</t>
  </si>
  <si>
    <t xml:space="preserve">Budjet </t>
  </si>
  <si>
    <t xml:space="preserve">Budjetdan tashqari jamg‘arma </t>
  </si>
  <si>
    <t>Филиал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</si>
  <si>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</si>
  <si>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</si>
  <si>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</si>
  <si>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</si>
  <si>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</si>
  <si>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</si>
  <si>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</si>
  <si>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</si>
  <si>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</si>
  <si>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</si>
  <si>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</si>
  <si>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</si>
  <si>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</si>
  <si>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</si>
  <si>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Hisobot yilining o‘tgan davri bo‘yicha jami: Всего за год: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</si>
  <si>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</si>
  <si>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</si>
  <si>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</si>
  <si>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</si>
  <si>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</si>
  <si>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</si>
  <si>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</si>
  <si>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</si>
  <si>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</si>
  <si>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 xml:space="preserve">"O'zbekko'mir" AJ xizmat uylari va boshqa ko‘chmas mulklar to‘g‘risidagi </t>
  </si>
  <si>
    <t>Xizmat uyi</t>
  </si>
  <si>
    <t>Toshkent sh.Yunusobod tumani, Bodomzor 8-52</t>
  </si>
  <si>
    <t>10:07:02:01:01:5390:0001:052</t>
  </si>
  <si>
    <t>Исп.аппарат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</si>
  <si>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</si>
  <si>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</si>
  <si>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</si>
  <si>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</si>
  <si>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</si>
  <si>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</si>
  <si>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</si>
  <si>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</si>
  <si>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Ishlab chiqarish binosi</t>
  </si>
  <si>
    <t>Angren sh. Oppartak qishlog'i</t>
  </si>
  <si>
    <t>11:16:01:04:02:9996</t>
  </si>
  <si>
    <t>"МТС и СС"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</si>
  <si>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</si>
  <si>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</si>
  <si>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</si>
  <si>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</si>
  <si>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</si>
  <si>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</si>
  <si>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</si>
  <si>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</si>
  <si>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</si>
  <si>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</si>
  <si>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</si>
  <si>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</si>
  <si>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</si>
  <si>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>Bino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</si>
  <si>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</si>
  <si>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</si>
  <si>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</si>
  <si>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</si>
  <si>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</si>
  <si>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Garaj binosi</t>
  </si>
  <si>
    <t xml:space="preserve"> Angren sh. Yuk tashash bazasi hududi</t>
  </si>
  <si>
    <t>11:16:02:04:01:1232</t>
  </si>
  <si>
    <t>"АТТ"</t>
  </si>
  <si>
    <t>Nozimxona binosi</t>
  </si>
  <si>
    <t>Ombor binosi</t>
  </si>
  <si>
    <t>Yemakxona binosi</t>
  </si>
  <si>
    <t>Do'kon binosi</t>
  </si>
  <si>
    <t>Angren sh Jigariston ko'chasi</t>
  </si>
  <si>
    <t>11:16:02:04:04:3498</t>
  </si>
  <si>
    <t>FOTON Pikup</t>
  </si>
  <si>
    <t>10 511 XCA</t>
  </si>
  <si>
    <t>TRACKER-2</t>
  </si>
  <si>
    <t>10 071 YCA</t>
  </si>
  <si>
    <t xml:space="preserve">СHEVROLET ONIX </t>
  </si>
  <si>
    <t>10 017 YCA</t>
  </si>
  <si>
    <t>СHEVROLET ONIX</t>
  </si>
  <si>
    <t>10 012 YCA</t>
  </si>
  <si>
    <t>11-16-02-04-01-9976</t>
  </si>
  <si>
    <t xml:space="preserve">"AKT"filiali </t>
  </si>
  <si>
    <t>Angren sh. Oppartak ko'chasi,146-uy</t>
  </si>
  <si>
    <t>11:16:01:04:02:9991</t>
  </si>
  <si>
    <t>ЭС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</si>
  <si>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</si>
  <si>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</si>
  <si>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</si>
  <si>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</si>
  <si>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</si>
  <si>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</si>
  <si>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</si>
  <si>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</si>
  <si>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</si>
  <si>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</si>
  <si>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</si>
  <si>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ф-л " Разрез Апартак "</t>
  </si>
  <si>
    <t>Tarozixona binosi</t>
  </si>
  <si>
    <t>11:16:02:02:03:9992</t>
  </si>
  <si>
    <t>Разрез Ангренский</t>
  </si>
  <si>
    <t>11:16:01:04:07:0011</t>
  </si>
  <si>
    <t>11:16:02:02:03:9998</t>
  </si>
  <si>
    <t>ДУШС</t>
  </si>
  <si>
    <t>11:16:02:02:02:3147</t>
  </si>
  <si>
    <t>11:16:02:02:02:3145</t>
  </si>
  <si>
    <t>11:16:01:04:05:9976</t>
  </si>
  <si>
    <t>11:16:02:04:01:9995</t>
  </si>
  <si>
    <t>11:16:04:04:03:9998</t>
  </si>
  <si>
    <t>ЖТ</t>
  </si>
  <si>
    <t>Angren sh Birodarlik  ko'chasi</t>
  </si>
  <si>
    <t>Choyxona</t>
  </si>
  <si>
    <t>Angren sh Jigariston ko'chasi, 47-uy</t>
  </si>
  <si>
    <t>Angren sh Jigariston ko'chasi, 47D-uy</t>
  </si>
  <si>
    <t>Angren sh Chinor ko'chasi, 1-uy</t>
  </si>
  <si>
    <t>El.podstansiya 35/6/(3,3)kV qurilishi</t>
  </si>
  <si>
    <t xml:space="preserve"> J/b ko'prik qurilishi</t>
  </si>
  <si>
    <t xml:space="preserve"> Temiryo'l qurilishi</t>
  </si>
  <si>
    <t>Jami:</t>
  </si>
  <si>
    <t>Qurilishi tugallanmagan ob'ekt</t>
  </si>
  <si>
    <t>Qurilish boshlangan sana</t>
  </si>
  <si>
    <t>Summa (ming so'm)</t>
  </si>
  <si>
    <t>BYD Song Uzpride</t>
  </si>
  <si>
    <t>10 924 ZCA</t>
  </si>
  <si>
    <t>2025</t>
  </si>
  <si>
    <t>BYD Chasor</t>
  </si>
  <si>
    <t>10 072 SCA</t>
  </si>
  <si>
    <t>2023</t>
  </si>
  <si>
    <t>24.05.2024</t>
  </si>
  <si>
    <t>11:16:01:02:04:9978</t>
  </si>
  <si>
    <t>ГРЭ</t>
  </si>
  <si>
    <t>КС</t>
  </si>
  <si>
    <t>СМР</t>
  </si>
  <si>
    <t>Angren sh. Toshkent ko'chasi 8-uy</t>
  </si>
  <si>
    <t>№ 11:16:01:04:05:9973</t>
  </si>
  <si>
    <t>РГТО</t>
  </si>
  <si>
    <t>01.04.2026 yil (1 kvartal)</t>
  </si>
  <si>
    <t>01.10.2026 yil (3 kvartal)</t>
  </si>
  <si>
    <t>01.01.2027 yil (4 kvartal)</t>
  </si>
  <si>
    <t>01.04.2026 yil (1 chorak)</t>
  </si>
  <si>
    <t>01.07.2026 yil (2 chorak)</t>
  </si>
  <si>
    <t>01.07.2026 yil holatiga normativ muddatlarda ishga tushirilmagan, qurilishi tugallanmagan ob'ektlarning ҳолатига норматив  
RO'YXATI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</si>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</sst>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,##0.00\ _₽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Univers 45 Light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6" fillId="4" borderId="1" xfId="0" applyFont="1" applyFill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/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right" vertical="top" wrapText="1"/>
    </xf>
    <xf numFmtId="164" fontId="17" fillId="0" borderId="6" xfId="0" applyNumberFormat="1" applyFont="1" applyBorder="1" applyAlignment="1">
      <alignment horizontal="right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0" fontId="17" fillId="4" borderId="1" xfId="2" applyFont="1" applyFill="1" applyBorder="1" applyAlignment="1">
      <alignment horizontal="center"/>
    </xf>
    <xf numFmtId="0" fontId="24" fillId="4" borderId="0" xfId="0" applyFont="1" applyFill="1"/>
    <xf numFmtId="0" fontId="25" fillId="4" borderId="1" xfId="0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right" vertical="top" wrapText="1"/>
    </xf>
    <xf numFmtId="0" fontId="16" fillId="4" borderId="4" xfId="2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28" fillId="3" borderId="12" xfId="0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vertical="center" wrapText="1"/>
    </xf>
    <xf numFmtId="164" fontId="22" fillId="4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top" wrapText="1"/>
    </xf>
    <xf numFmtId="0" fontId="16" fillId="4" borderId="4" xfId="12" applyFont="1" applyFill="1" applyBorder="1" applyAlignment="1">
      <alignment horizontal="left"/>
    </xf>
    <xf numFmtId="0" fontId="25" fillId="4" borderId="4" xfId="2" applyFont="1" applyFill="1" applyBorder="1" applyAlignment="1">
      <alignment horizontal="left"/>
    </xf>
    <xf numFmtId="0" fontId="27" fillId="4" borderId="13" xfId="0" applyFont="1" applyFill="1" applyBorder="1"/>
    <xf numFmtId="0" fontId="11" fillId="3" borderId="13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wrapText="1"/>
    </xf>
    <xf numFmtId="14" fontId="22" fillId="4" borderId="1" xfId="0" applyNumberFormat="1" applyFont="1" applyFill="1" applyBorder="1" applyAlignment="1">
      <alignment horizontal="left" vertical="center"/>
    </xf>
    <xf numFmtId="164" fontId="16" fillId="4" borderId="1" xfId="1" applyNumberFormat="1" applyFont="1" applyFill="1" applyBorder="1" applyAlignment="1">
      <alignment wrapText="1"/>
    </xf>
    <xf numFmtId="14" fontId="22" fillId="4" borderId="1" xfId="4" applyNumberFormat="1" applyFont="1" applyFill="1" applyBorder="1" applyAlignment="1" applyProtection="1">
      <alignment horizontal="left" vertical="center"/>
      <protection locked="0"/>
    </xf>
    <xf numFmtId="164" fontId="17" fillId="0" borderId="1" xfId="0" applyNumberFormat="1" applyFont="1" applyBorder="1"/>
    <xf numFmtId="0" fontId="13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164" fontId="21" fillId="4" borderId="1" xfId="1" applyNumberFormat="1" applyFont="1" applyFill="1" applyBorder="1" applyAlignment="1">
      <alignment horizontal="center" vertical="center" wrapText="1"/>
    </xf>
    <xf numFmtId="3" fontId="27" fillId="4" borderId="1" xfId="0" applyNumberFormat="1" applyFont="1" applyFill="1" applyBorder="1" applyAlignment="1">
      <alignment horizontal="right" vertical="top" wrapText="1"/>
    </xf>
    <xf numFmtId="164" fontId="27" fillId="4" borderId="1" xfId="1" applyNumberFormat="1" applyFont="1" applyFill="1" applyBorder="1" applyAlignment="1">
      <alignment horizontal="right"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27" fillId="4" borderId="0" xfId="0" applyFont="1" applyFill="1"/>
    <xf numFmtId="164" fontId="28" fillId="4" borderId="1" xfId="0" applyNumberFormat="1" applyFont="1" applyFill="1" applyBorder="1" applyAlignment="1">
      <alignment horizontal="right" vertical="top" wrapText="1"/>
    </xf>
    <xf numFmtId="0" fontId="28" fillId="4" borderId="1" xfId="2" applyFont="1" applyFill="1" applyBorder="1" applyAlignment="1">
      <alignment horizontal="left"/>
    </xf>
    <xf numFmtId="164" fontId="13" fillId="4" borderId="1" xfId="0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31" fillId="0" borderId="0" xfId="0" applyFont="1" applyAlignment="1">
      <alignment horizontal="center" vertical="center"/>
    </xf>
  </cellXfs>
  <cellStyles count="23">
    <cellStyle name="Normal_download.asp?objectid=18424" xfId="6"/>
    <cellStyle name="Обычный" xfId="0" builtinId="0"/>
    <cellStyle name="Обычный 2" xfId="2"/>
    <cellStyle name="Обычный 2 2" xfId="5"/>
    <cellStyle name="Обычный 2 2 2" xfId="12"/>
    <cellStyle name="Обычный 2 2 3" xfId="17"/>
    <cellStyle name="Обычный 2 3" xfId="7"/>
    <cellStyle name="Обычный 2 3 2" xfId="13"/>
    <cellStyle name="Обычный 2 3 3" xfId="18"/>
    <cellStyle name="Обычный 2 4" xfId="9"/>
    <cellStyle name="Обычный 2 4 2" xfId="15"/>
    <cellStyle name="Обычный 2 4 3" xfId="19"/>
    <cellStyle name="Обычный 2 5" xfId="10"/>
    <cellStyle name="Обычный 2 6" xfId="16"/>
    <cellStyle name="Обычный 3" xfId="22"/>
    <cellStyle name="Обычный 6 2" xfId="3"/>
    <cellStyle name="Обычный 6 2 2" xfId="8"/>
    <cellStyle name="Обычный 6 2 2 2" xfId="14"/>
    <cellStyle name="Обычный 6 2 2 3" xfId="21"/>
    <cellStyle name="Обычный 6 2 3" xfId="11"/>
    <cellStyle name="Обычный 6 2 4" xfId="20"/>
    <cellStyle name="Обычный_БС 2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6"/>
  <sheetViews>
    <sheetView topLeftCell="B266" workbookViewId="0">
      <selection activeCell="E236" sqref="E236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7" width="14.7109375" customWidth="1"/>
    <col min="8" max="8" width="17.42578125" customWidth="1"/>
    <col min="9" max="13" width="14.7109375" customWidth="1"/>
    <col min="14" max="14" width="23.5703125" customWidth="1"/>
  </cols>
  <sheetData>
    <row r="3" spans="1:14" ht="1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5" customHeight="1">
      <c r="A4" s="77" t="s">
        <v>29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15.75" customHeight="1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5.75" customHeight="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5.7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60" customHeight="1">
      <c r="B9" s="73" t="s">
        <v>1</v>
      </c>
      <c r="C9" s="73" t="s">
        <v>5</v>
      </c>
      <c r="D9" s="73" t="s">
        <v>6</v>
      </c>
      <c r="E9" s="73" t="s">
        <v>7</v>
      </c>
      <c r="F9" s="73" t="s">
        <v>8</v>
      </c>
      <c r="G9" s="2" t="s">
        <v>9</v>
      </c>
      <c r="H9" s="2" t="s">
        <v>11</v>
      </c>
      <c r="I9" s="2" t="s">
        <v>14</v>
      </c>
      <c r="J9" s="3" t="s">
        <v>15</v>
      </c>
      <c r="K9" s="73" t="s">
        <v>16</v>
      </c>
      <c r="L9" s="86" t="s">
        <v>17</v>
      </c>
      <c r="M9" s="87"/>
      <c r="N9" s="73" t="s">
        <v>4</v>
      </c>
    </row>
    <row r="10" spans="1:14" ht="25.5" customHeight="1">
      <c r="B10" s="74"/>
      <c r="C10" s="74"/>
      <c r="D10" s="74"/>
      <c r="E10" s="74"/>
      <c r="F10" s="74"/>
      <c r="G10" s="78" t="s">
        <v>10</v>
      </c>
      <c r="H10" s="80" t="s">
        <v>13</v>
      </c>
      <c r="I10" s="78" t="s">
        <v>12</v>
      </c>
      <c r="J10" s="80" t="s">
        <v>12</v>
      </c>
      <c r="K10" s="74"/>
      <c r="L10" s="88"/>
      <c r="M10" s="89"/>
      <c r="N10" s="74"/>
    </row>
    <row r="11" spans="1:14" ht="38.25">
      <c r="B11" s="75"/>
      <c r="C11" s="75"/>
      <c r="D11" s="75"/>
      <c r="E11" s="75"/>
      <c r="F11" s="75"/>
      <c r="G11" s="79"/>
      <c r="H11" s="81"/>
      <c r="I11" s="79"/>
      <c r="J11" s="81"/>
      <c r="K11" s="75"/>
      <c r="L11" s="5" t="s">
        <v>2</v>
      </c>
      <c r="M11" s="5" t="s">
        <v>3</v>
      </c>
      <c r="N11" s="75"/>
    </row>
    <row r="12" spans="1:14"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6">
        <v>11</v>
      </c>
      <c r="M12" s="6">
        <v>12</v>
      </c>
      <c r="N12" s="6">
        <v>13</v>
      </c>
    </row>
    <row r="13" spans="1:14" ht="15" customHeight="1">
      <c r="B13" s="82" t="s">
        <v>138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7"/>
    </row>
    <row r="14" spans="1:14" s="12" customFormat="1" ht="18" customHeight="1">
      <c r="B14" s="24">
        <v>1</v>
      </c>
      <c r="C14" s="8" t="s">
        <v>30</v>
      </c>
      <c r="D14" s="13" t="s">
        <v>31</v>
      </c>
      <c r="E14" s="13" t="s">
        <v>32</v>
      </c>
      <c r="F14" s="14">
        <v>2019</v>
      </c>
      <c r="G14" s="15">
        <v>1</v>
      </c>
      <c r="H14" s="46">
        <v>175432</v>
      </c>
      <c r="I14" s="46">
        <v>3439</v>
      </c>
      <c r="J14" s="46">
        <v>1316</v>
      </c>
      <c r="K14" s="20"/>
      <c r="L14" s="17"/>
      <c r="M14" s="17"/>
      <c r="N14" s="13" t="s">
        <v>33</v>
      </c>
    </row>
    <row r="15" spans="1:14" s="12" customFormat="1" ht="18" customHeight="1">
      <c r="B15" s="24">
        <v>2</v>
      </c>
      <c r="C15" s="13" t="s">
        <v>34</v>
      </c>
      <c r="D15" s="13" t="s">
        <v>35</v>
      </c>
      <c r="E15" s="13" t="s">
        <v>36</v>
      </c>
      <c r="F15" s="14">
        <v>2007</v>
      </c>
      <c r="G15" s="15">
        <v>1</v>
      </c>
      <c r="H15" s="46">
        <v>6319156</v>
      </c>
      <c r="I15" s="46">
        <v>2783392</v>
      </c>
      <c r="J15" s="46">
        <v>47394</v>
      </c>
      <c r="K15" s="20"/>
      <c r="L15" s="17"/>
      <c r="M15" s="17"/>
      <c r="N15" s="41" t="s">
        <v>33</v>
      </c>
    </row>
    <row r="16" spans="1:14" s="12" customFormat="1" ht="18" customHeight="1">
      <c r="B16" s="24">
        <v>3</v>
      </c>
      <c r="C16" s="31" t="s">
        <v>37</v>
      </c>
      <c r="D16" s="13" t="s">
        <v>35</v>
      </c>
      <c r="E16" s="13" t="s">
        <v>38</v>
      </c>
      <c r="F16" s="14">
        <v>2011</v>
      </c>
      <c r="G16" s="15">
        <v>1</v>
      </c>
      <c r="H16" s="46">
        <v>1268016</v>
      </c>
      <c r="I16" s="46">
        <v>505494</v>
      </c>
      <c r="J16" s="46">
        <v>9510</v>
      </c>
      <c r="K16" s="20"/>
      <c r="L16" s="32"/>
      <c r="M16" s="32"/>
      <c r="N16" s="41" t="s">
        <v>33</v>
      </c>
    </row>
    <row r="17" spans="2:14" s="12" customFormat="1" ht="18" customHeight="1">
      <c r="B17" s="24">
        <v>4</v>
      </c>
      <c r="C17" s="13" t="s">
        <v>39</v>
      </c>
      <c r="D17" s="13" t="s">
        <v>40</v>
      </c>
      <c r="E17" s="13" t="s">
        <v>41</v>
      </c>
      <c r="F17" s="14">
        <v>1983</v>
      </c>
      <c r="G17" s="15">
        <v>1</v>
      </c>
      <c r="H17" s="46">
        <v>555408</v>
      </c>
      <c r="I17" s="46">
        <v>184277</v>
      </c>
      <c r="J17" s="46">
        <v>3240</v>
      </c>
      <c r="K17" s="20"/>
      <c r="L17" s="32"/>
      <c r="M17" s="32"/>
      <c r="N17" s="41" t="s">
        <v>33</v>
      </c>
    </row>
    <row r="18" spans="2:14" s="12" customFormat="1" ht="18" customHeight="1">
      <c r="B18" s="24">
        <v>5</v>
      </c>
      <c r="C18" s="8" t="s">
        <v>42</v>
      </c>
      <c r="D18" s="14" t="s">
        <v>43</v>
      </c>
      <c r="E18" s="33" t="s">
        <v>44</v>
      </c>
      <c r="F18" s="34">
        <v>37225</v>
      </c>
      <c r="G18" s="15">
        <v>7</v>
      </c>
      <c r="H18" s="47">
        <v>840891</v>
      </c>
      <c r="I18" s="47">
        <v>140071</v>
      </c>
      <c r="J18" s="47">
        <v>8572</v>
      </c>
      <c r="K18" s="32"/>
      <c r="L18" s="32"/>
      <c r="M18" s="32"/>
      <c r="N18" s="49" t="s">
        <v>45</v>
      </c>
    </row>
    <row r="19" spans="2:14" s="12" customFormat="1" ht="18" customHeight="1">
      <c r="B19" s="24">
        <v>6</v>
      </c>
      <c r="C19" s="14" t="s">
        <v>46</v>
      </c>
      <c r="D19" s="14" t="s">
        <v>47</v>
      </c>
      <c r="E19" s="33" t="s">
        <v>48</v>
      </c>
      <c r="F19" s="34">
        <v>38290</v>
      </c>
      <c r="G19" s="15">
        <v>2</v>
      </c>
      <c r="H19" s="47">
        <v>1086794</v>
      </c>
      <c r="I19" s="47">
        <v>265313</v>
      </c>
      <c r="J19" s="47">
        <v>8151</v>
      </c>
      <c r="K19" s="32"/>
      <c r="L19" s="32"/>
      <c r="M19" s="32"/>
      <c r="N19" s="49" t="s">
        <v>45</v>
      </c>
    </row>
    <row r="20" spans="2:14" s="12" customFormat="1" ht="18" customHeight="1">
      <c r="B20" s="24">
        <v>7</v>
      </c>
      <c r="C20" s="14" t="s">
        <v>49</v>
      </c>
      <c r="D20" s="14" t="s">
        <v>50</v>
      </c>
      <c r="E20" s="33" t="s">
        <v>51</v>
      </c>
      <c r="F20" s="34">
        <v>38290</v>
      </c>
      <c r="G20" s="15">
        <v>1</v>
      </c>
      <c r="H20" s="47">
        <v>7873</v>
      </c>
      <c r="I20" s="47">
        <v>1360</v>
      </c>
      <c r="J20" s="47"/>
      <c r="K20" s="32"/>
      <c r="L20" s="32"/>
      <c r="M20" s="32"/>
      <c r="N20" s="49" t="s">
        <v>45</v>
      </c>
    </row>
    <row r="21" spans="2:14" s="12" customFormat="1" ht="30" customHeight="1">
      <c r="B21" s="24">
        <v>8</v>
      </c>
      <c r="C21" s="14" t="s">
        <v>52</v>
      </c>
      <c r="D21" s="14" t="s">
        <v>53</v>
      </c>
      <c r="E21" s="33" t="s">
        <v>54</v>
      </c>
      <c r="F21" s="34">
        <v>38290</v>
      </c>
      <c r="G21" s="15">
        <v>18</v>
      </c>
      <c r="H21" s="47">
        <v>2237896</v>
      </c>
      <c r="I21" s="47">
        <v>387284</v>
      </c>
      <c r="J21" s="47">
        <v>9377</v>
      </c>
      <c r="K21" s="32"/>
      <c r="L21" s="32"/>
      <c r="M21" s="32"/>
      <c r="N21" s="49" t="s">
        <v>45</v>
      </c>
    </row>
    <row r="22" spans="2:14" s="12" customFormat="1" ht="18" customHeight="1">
      <c r="B22" s="24">
        <v>9</v>
      </c>
      <c r="C22" s="8" t="s">
        <v>30</v>
      </c>
      <c r="D22" s="14" t="s">
        <v>55</v>
      </c>
      <c r="E22" s="33" t="s">
        <v>56</v>
      </c>
      <c r="F22" s="34">
        <v>37573</v>
      </c>
      <c r="G22" s="15">
        <v>1</v>
      </c>
      <c r="H22" s="47">
        <v>663</v>
      </c>
      <c r="I22" s="47">
        <v>95</v>
      </c>
      <c r="J22" s="47"/>
      <c r="K22" s="32"/>
      <c r="L22" s="32"/>
      <c r="M22" s="32"/>
      <c r="N22" s="49" t="s">
        <v>45</v>
      </c>
    </row>
    <row r="23" spans="2:14" s="12" customFormat="1" ht="18" customHeight="1">
      <c r="B23" s="24">
        <v>10</v>
      </c>
      <c r="C23" s="8" t="s">
        <v>30</v>
      </c>
      <c r="D23" s="14" t="s">
        <v>57</v>
      </c>
      <c r="E23" s="33" t="s">
        <v>58</v>
      </c>
      <c r="F23" s="34">
        <v>37315</v>
      </c>
      <c r="G23" s="15">
        <v>1</v>
      </c>
      <c r="H23" s="47">
        <v>32343</v>
      </c>
      <c r="I23" s="47">
        <v>5174</v>
      </c>
      <c r="J23" s="47">
        <v>243</v>
      </c>
      <c r="K23" s="32"/>
      <c r="L23" s="32"/>
      <c r="M23" s="32"/>
      <c r="N23" s="49" t="s">
        <v>45</v>
      </c>
    </row>
    <row r="24" spans="2:14" s="12" customFormat="1" ht="18" customHeight="1">
      <c r="B24" s="24">
        <v>11</v>
      </c>
      <c r="C24" s="14" t="s">
        <v>59</v>
      </c>
      <c r="D24" s="14" t="s">
        <v>60</v>
      </c>
      <c r="E24" s="33" t="s">
        <v>61</v>
      </c>
      <c r="F24" s="34">
        <v>38290</v>
      </c>
      <c r="G24" s="15">
        <v>1</v>
      </c>
      <c r="H24" s="47">
        <v>1050294</v>
      </c>
      <c r="I24" s="47">
        <v>71571</v>
      </c>
      <c r="J24" s="47">
        <v>7216</v>
      </c>
      <c r="K24" s="32"/>
      <c r="L24" s="32"/>
      <c r="M24" s="32"/>
      <c r="N24" s="49" t="s">
        <v>45</v>
      </c>
    </row>
    <row r="25" spans="2:14" s="12" customFormat="1" ht="18" customHeight="1">
      <c r="B25" s="24">
        <v>12</v>
      </c>
      <c r="C25" s="14" t="s">
        <v>62</v>
      </c>
      <c r="D25" s="14" t="s">
        <v>63</v>
      </c>
      <c r="E25" s="33" t="s">
        <v>64</v>
      </c>
      <c r="F25" s="34">
        <v>44560</v>
      </c>
      <c r="G25" s="15">
        <v>1</v>
      </c>
      <c r="H25" s="47">
        <v>668082</v>
      </c>
      <c r="I25" s="47"/>
      <c r="J25" s="47">
        <v>8351</v>
      </c>
      <c r="K25" s="32"/>
      <c r="L25" s="32"/>
      <c r="M25" s="32"/>
      <c r="N25" s="49" t="s">
        <v>45</v>
      </c>
    </row>
    <row r="26" spans="2:14" ht="15.75">
      <c r="B26" s="24">
        <v>13</v>
      </c>
      <c r="C26" s="14" t="s">
        <v>65</v>
      </c>
      <c r="D26" s="14" t="s">
        <v>66</v>
      </c>
      <c r="E26" s="14" t="s">
        <v>67</v>
      </c>
      <c r="F26" s="34">
        <v>37953</v>
      </c>
      <c r="G26" s="15">
        <v>1</v>
      </c>
      <c r="H26" s="48">
        <v>8020.5839699999997</v>
      </c>
      <c r="I26" s="48">
        <v>3647.80366</v>
      </c>
      <c r="J26" s="48">
        <v>7485.88</v>
      </c>
      <c r="K26" s="35"/>
      <c r="L26" s="35"/>
      <c r="M26" s="35"/>
      <c r="N26" s="41" t="s">
        <v>68</v>
      </c>
    </row>
    <row r="27" spans="2:14" ht="15.75">
      <c r="B27" s="24">
        <v>14</v>
      </c>
      <c r="C27" s="14" t="s">
        <v>69</v>
      </c>
      <c r="D27" s="14" t="s">
        <v>66</v>
      </c>
      <c r="E27" s="14" t="s">
        <v>67</v>
      </c>
      <c r="F27" s="34">
        <v>37953</v>
      </c>
      <c r="G27" s="15">
        <v>1</v>
      </c>
      <c r="H27" s="48">
        <v>3025.4504999999999</v>
      </c>
      <c r="I27" s="48">
        <v>1375.99153</v>
      </c>
      <c r="J27" s="48">
        <v>2823.75</v>
      </c>
      <c r="K27" s="35"/>
      <c r="L27" s="35"/>
      <c r="M27" s="35"/>
      <c r="N27" s="41" t="s">
        <v>68</v>
      </c>
    </row>
    <row r="28" spans="2:14" ht="15.75">
      <c r="B28" s="24">
        <v>15</v>
      </c>
      <c r="C28" s="8" t="s">
        <v>42</v>
      </c>
      <c r="D28" s="14" t="s">
        <v>66</v>
      </c>
      <c r="E28" s="14" t="s">
        <v>67</v>
      </c>
      <c r="F28" s="34">
        <v>37953</v>
      </c>
      <c r="G28" s="15">
        <v>1</v>
      </c>
      <c r="H28" s="48">
        <v>2819.3766099999998</v>
      </c>
      <c r="I28" s="48">
        <v>1282.26803</v>
      </c>
      <c r="J28" s="48">
        <v>2631.42</v>
      </c>
      <c r="K28" s="35"/>
      <c r="L28" s="35"/>
      <c r="M28" s="35"/>
      <c r="N28" s="41" t="s">
        <v>68</v>
      </c>
    </row>
    <row r="29" spans="2:14" ht="15.75">
      <c r="B29" s="24">
        <v>16</v>
      </c>
      <c r="C29" s="8" t="s">
        <v>42</v>
      </c>
      <c r="D29" s="14" t="s">
        <v>66</v>
      </c>
      <c r="E29" s="14" t="s">
        <v>67</v>
      </c>
      <c r="F29" s="34">
        <v>37953</v>
      </c>
      <c r="G29" s="15">
        <v>1</v>
      </c>
      <c r="H29" s="48">
        <v>3792.13069</v>
      </c>
      <c r="I29" s="48">
        <v>1724.68111</v>
      </c>
      <c r="J29" s="48">
        <v>3539.32</v>
      </c>
      <c r="K29" s="35"/>
      <c r="L29" s="35"/>
      <c r="M29" s="35"/>
      <c r="N29" s="41" t="s">
        <v>68</v>
      </c>
    </row>
    <row r="30" spans="2:14" ht="15.75">
      <c r="B30" s="24">
        <v>17</v>
      </c>
      <c r="C30" s="8" t="s">
        <v>42</v>
      </c>
      <c r="D30" s="14" t="s">
        <v>66</v>
      </c>
      <c r="E30" s="14" t="s">
        <v>67</v>
      </c>
      <c r="F30" s="34">
        <v>37953</v>
      </c>
      <c r="G30" s="15">
        <v>1</v>
      </c>
      <c r="H30" s="48">
        <v>8805.6867199999997</v>
      </c>
      <c r="I30" s="48">
        <v>3994.6894699999998</v>
      </c>
      <c r="J30" s="48">
        <v>8218.64</v>
      </c>
      <c r="K30" s="35"/>
      <c r="L30" s="35"/>
      <c r="M30" s="35"/>
      <c r="N30" s="41" t="s">
        <v>68</v>
      </c>
    </row>
    <row r="31" spans="2:14" ht="15.75">
      <c r="B31" s="24">
        <v>18</v>
      </c>
      <c r="C31" s="8" t="s">
        <v>59</v>
      </c>
      <c r="D31" s="14" t="s">
        <v>66</v>
      </c>
      <c r="E31" s="14" t="s">
        <v>67</v>
      </c>
      <c r="F31" s="34">
        <v>37953</v>
      </c>
      <c r="G31" s="15">
        <v>1</v>
      </c>
      <c r="H31" s="48">
        <v>24930.383969999999</v>
      </c>
      <c r="I31" s="48">
        <v>11369.15626</v>
      </c>
      <c r="J31" s="48">
        <v>23268.36</v>
      </c>
      <c r="K31" s="35"/>
      <c r="L31" s="35"/>
      <c r="M31" s="35"/>
      <c r="N31" s="41" t="s">
        <v>68</v>
      </c>
    </row>
    <row r="32" spans="2:14" ht="15.75">
      <c r="B32" s="24">
        <v>19</v>
      </c>
      <c r="C32" s="8" t="s">
        <v>70</v>
      </c>
      <c r="D32" s="14" t="s">
        <v>66</v>
      </c>
      <c r="E32" s="14" t="s">
        <v>67</v>
      </c>
      <c r="F32" s="34">
        <v>37953</v>
      </c>
      <c r="G32" s="15">
        <v>1</v>
      </c>
      <c r="H32" s="48">
        <v>2544.4800500000001</v>
      </c>
      <c r="I32" s="48">
        <v>1157.24191</v>
      </c>
      <c r="J32" s="48">
        <v>2374.85</v>
      </c>
      <c r="K32" s="35"/>
      <c r="L32" s="35"/>
      <c r="M32" s="35"/>
      <c r="N32" s="41" t="s">
        <v>68</v>
      </c>
    </row>
    <row r="33" spans="2:14" ht="15.75">
      <c r="B33" s="24">
        <v>20</v>
      </c>
      <c r="C33" s="8" t="s">
        <v>71</v>
      </c>
      <c r="D33" s="14" t="s">
        <v>66</v>
      </c>
      <c r="E33" s="14" t="s">
        <v>67</v>
      </c>
      <c r="F33" s="34">
        <v>37953</v>
      </c>
      <c r="G33" s="15">
        <v>1</v>
      </c>
      <c r="H33" s="48">
        <v>3203.116</v>
      </c>
      <c r="I33" s="48">
        <v>1450.7593099999999</v>
      </c>
      <c r="J33" s="48">
        <v>2989.57</v>
      </c>
      <c r="K33" s="35"/>
      <c r="L33" s="35"/>
      <c r="M33" s="35"/>
      <c r="N33" s="41" t="s">
        <v>68</v>
      </c>
    </row>
    <row r="34" spans="2:14" ht="15.75">
      <c r="B34" s="24">
        <v>21</v>
      </c>
      <c r="C34" s="8" t="s">
        <v>72</v>
      </c>
      <c r="D34" s="14" t="s">
        <v>66</v>
      </c>
      <c r="E34" s="14" t="s">
        <v>67</v>
      </c>
      <c r="F34" s="34">
        <v>37953</v>
      </c>
      <c r="G34" s="15">
        <v>1</v>
      </c>
      <c r="H34" s="48">
        <v>14671.20441</v>
      </c>
      <c r="I34" s="48">
        <v>6644.8975899999996</v>
      </c>
      <c r="J34" s="48">
        <v>13693.12</v>
      </c>
      <c r="K34" s="35"/>
      <c r="L34" s="35"/>
      <c r="M34" s="35"/>
      <c r="N34" s="41" t="s">
        <v>68</v>
      </c>
    </row>
    <row r="35" spans="2:14" ht="15.75">
      <c r="B35" s="24">
        <v>22</v>
      </c>
      <c r="C35" s="8" t="s">
        <v>42</v>
      </c>
      <c r="D35" s="14" t="s">
        <v>66</v>
      </c>
      <c r="E35" s="14" t="s">
        <v>67</v>
      </c>
      <c r="F35" s="34">
        <v>37948</v>
      </c>
      <c r="G35" s="15">
        <v>1</v>
      </c>
      <c r="H35" s="48">
        <v>2840.1970500000002</v>
      </c>
      <c r="I35" s="48">
        <v>1233.2264600000001</v>
      </c>
      <c r="J35" s="48">
        <v>2764.46</v>
      </c>
      <c r="K35" s="35"/>
      <c r="L35" s="35"/>
      <c r="M35" s="35"/>
      <c r="N35" s="41" t="s">
        <v>68</v>
      </c>
    </row>
    <row r="36" spans="2:14" ht="15.75">
      <c r="B36" s="24">
        <v>23</v>
      </c>
      <c r="C36" s="8" t="s">
        <v>42</v>
      </c>
      <c r="D36" s="14" t="s">
        <v>66</v>
      </c>
      <c r="E36" s="14" t="s">
        <v>67</v>
      </c>
      <c r="F36" s="34">
        <v>37948</v>
      </c>
      <c r="G36" s="15">
        <v>1</v>
      </c>
      <c r="H36" s="48">
        <v>3933.8967699999998</v>
      </c>
      <c r="I36" s="48">
        <v>1712.0251499999999</v>
      </c>
      <c r="J36" s="48">
        <v>3933.9</v>
      </c>
      <c r="K36" s="35"/>
      <c r="L36" s="35"/>
      <c r="M36" s="35"/>
      <c r="N36" s="41" t="s">
        <v>68</v>
      </c>
    </row>
    <row r="37" spans="2:14" ht="15.75">
      <c r="B37" s="24">
        <v>24</v>
      </c>
      <c r="C37" s="8" t="s">
        <v>42</v>
      </c>
      <c r="D37" s="14" t="s">
        <v>66</v>
      </c>
      <c r="E37" s="14"/>
      <c r="F37" s="34">
        <v>41619</v>
      </c>
      <c r="G37" s="15">
        <v>1</v>
      </c>
      <c r="H37" s="48">
        <v>11904.04221</v>
      </c>
      <c r="I37" s="48">
        <v>3970.5863300000001</v>
      </c>
      <c r="J37" s="48">
        <v>4583.05</v>
      </c>
      <c r="K37" s="35"/>
      <c r="L37" s="35"/>
      <c r="M37" s="35"/>
      <c r="N37" s="41" t="s">
        <v>68</v>
      </c>
    </row>
    <row r="38" spans="2:14" ht="15.75">
      <c r="B38" s="24">
        <v>25</v>
      </c>
      <c r="C38" s="8" t="s">
        <v>42</v>
      </c>
      <c r="D38" s="14" t="s">
        <v>73</v>
      </c>
      <c r="E38" s="14" t="s">
        <v>74</v>
      </c>
      <c r="F38" s="34">
        <v>41639</v>
      </c>
      <c r="G38" s="15">
        <v>1</v>
      </c>
      <c r="H38" s="48">
        <v>1346644.0377499999</v>
      </c>
      <c r="I38" s="48">
        <v>623138.45620000002</v>
      </c>
      <c r="J38" s="48">
        <v>518457.95</v>
      </c>
      <c r="K38" s="35"/>
      <c r="L38" s="35"/>
      <c r="M38" s="35"/>
      <c r="N38" s="41" t="s">
        <v>68</v>
      </c>
    </row>
    <row r="39" spans="2:14" ht="15.75">
      <c r="B39" s="24">
        <v>26</v>
      </c>
      <c r="C39" s="8" t="s">
        <v>42</v>
      </c>
      <c r="D39" s="14" t="s">
        <v>73</v>
      </c>
      <c r="E39" s="14"/>
      <c r="F39" s="34">
        <v>42004</v>
      </c>
      <c r="G39" s="15">
        <v>1</v>
      </c>
      <c r="H39" s="48">
        <v>1112790.7781799999</v>
      </c>
      <c r="I39" s="48">
        <v>459776.34351999999</v>
      </c>
      <c r="J39" s="48">
        <v>372784.91</v>
      </c>
      <c r="K39" s="35"/>
      <c r="L39" s="35"/>
      <c r="M39" s="35"/>
      <c r="N39" s="41" t="s">
        <v>68</v>
      </c>
    </row>
    <row r="40" spans="2:14" ht="15.75">
      <c r="B40" s="24">
        <v>27</v>
      </c>
      <c r="C40" s="8" t="s">
        <v>42</v>
      </c>
      <c r="D40" s="14" t="s">
        <v>73</v>
      </c>
      <c r="E40" s="14" t="s">
        <v>74</v>
      </c>
      <c r="F40" s="34">
        <v>37288</v>
      </c>
      <c r="G40" s="15">
        <v>1</v>
      </c>
      <c r="H40" s="48">
        <v>250661.76605999999</v>
      </c>
      <c r="I40" s="48">
        <v>16335.379010000001</v>
      </c>
      <c r="J40" s="48">
        <v>67779.820000000007</v>
      </c>
      <c r="K40" s="35"/>
      <c r="L40" s="35"/>
      <c r="M40" s="35"/>
      <c r="N40" s="41" t="s">
        <v>68</v>
      </c>
    </row>
    <row r="41" spans="2:14" ht="15.75">
      <c r="B41" s="24">
        <v>28</v>
      </c>
      <c r="C41" s="8" t="s">
        <v>42</v>
      </c>
      <c r="D41" s="14" t="s">
        <v>73</v>
      </c>
      <c r="E41" s="14" t="s">
        <v>74</v>
      </c>
      <c r="F41" s="34">
        <v>37288</v>
      </c>
      <c r="G41" s="15">
        <v>1</v>
      </c>
      <c r="H41" s="48">
        <v>24629.272430000001</v>
      </c>
      <c r="I41" s="48">
        <v>2245.99649</v>
      </c>
      <c r="J41" s="48">
        <v>24629.27</v>
      </c>
      <c r="K41" s="35"/>
      <c r="L41" s="35"/>
      <c r="M41" s="35"/>
      <c r="N41" s="41" t="s">
        <v>68</v>
      </c>
    </row>
    <row r="42" spans="2:14" ht="15.75">
      <c r="B42" s="24">
        <v>29</v>
      </c>
      <c r="C42" s="8" t="s">
        <v>70</v>
      </c>
      <c r="D42" s="14" t="s">
        <v>66</v>
      </c>
      <c r="E42" s="14" t="s">
        <v>67</v>
      </c>
      <c r="F42" s="34">
        <v>37953</v>
      </c>
      <c r="G42" s="15">
        <v>1</v>
      </c>
      <c r="H42" s="48">
        <v>654.85920999999996</v>
      </c>
      <c r="I42" s="48">
        <v>297.83440999999999</v>
      </c>
      <c r="J42" s="48">
        <v>611.20000000000005</v>
      </c>
      <c r="K42" s="35"/>
      <c r="L42" s="35"/>
      <c r="M42" s="35"/>
      <c r="N42" s="41" t="s">
        <v>68</v>
      </c>
    </row>
    <row r="43" spans="2:14" ht="15.75">
      <c r="B43" s="24">
        <v>30</v>
      </c>
      <c r="C43" s="8" t="s">
        <v>42</v>
      </c>
      <c r="D43" s="14" t="s">
        <v>73</v>
      </c>
      <c r="E43" s="17"/>
      <c r="F43" s="34">
        <v>43588</v>
      </c>
      <c r="G43" s="15">
        <v>1</v>
      </c>
      <c r="H43" s="48">
        <v>23033.43952</v>
      </c>
      <c r="I43" s="48">
        <v>11231.12061</v>
      </c>
      <c r="J43" s="48">
        <v>17179.11</v>
      </c>
      <c r="K43" s="35"/>
      <c r="L43" s="35"/>
      <c r="M43" s="35"/>
      <c r="N43" s="41" t="s">
        <v>68</v>
      </c>
    </row>
    <row r="44" spans="2:14" ht="15.75">
      <c r="B44" s="24">
        <v>31</v>
      </c>
      <c r="C44" s="8" t="s">
        <v>42</v>
      </c>
      <c r="D44" s="14" t="s">
        <v>73</v>
      </c>
      <c r="E44" s="17"/>
      <c r="F44" s="34">
        <v>43588</v>
      </c>
      <c r="G44" s="15">
        <v>1</v>
      </c>
      <c r="H44" s="48">
        <v>30053.031950000001</v>
      </c>
      <c r="I44" s="48">
        <v>13388.201639999999</v>
      </c>
      <c r="J44" s="48">
        <v>16729.52</v>
      </c>
      <c r="K44" s="35"/>
      <c r="L44" s="35"/>
      <c r="M44" s="35"/>
      <c r="N44" s="41" t="s">
        <v>68</v>
      </c>
    </row>
    <row r="45" spans="2:14" ht="15.75">
      <c r="B45" s="24">
        <v>32</v>
      </c>
      <c r="C45" s="8" t="s">
        <v>42</v>
      </c>
      <c r="D45" s="14" t="s">
        <v>73</v>
      </c>
      <c r="E45" s="17"/>
      <c r="F45" s="34">
        <v>42766</v>
      </c>
      <c r="G45" s="15">
        <v>1</v>
      </c>
      <c r="H45" s="48">
        <v>127487.70266</v>
      </c>
      <c r="I45" s="48">
        <v>37749.761859999999</v>
      </c>
      <c r="J45" s="48">
        <v>34740.39</v>
      </c>
      <c r="K45" s="35"/>
      <c r="L45" s="35"/>
      <c r="M45" s="35"/>
      <c r="N45" s="41" t="s">
        <v>68</v>
      </c>
    </row>
    <row r="46" spans="2:14" s="36" customFormat="1" ht="22.9" customHeight="1">
      <c r="B46" s="24">
        <v>33</v>
      </c>
      <c r="C46" s="8" t="s">
        <v>42</v>
      </c>
      <c r="D46" s="14" t="s">
        <v>112</v>
      </c>
      <c r="E46" s="14" t="s">
        <v>83</v>
      </c>
      <c r="F46" s="34">
        <v>34851</v>
      </c>
      <c r="G46" s="37">
        <v>1</v>
      </c>
      <c r="H46" s="48">
        <v>4755</v>
      </c>
      <c r="I46" s="48">
        <v>1080</v>
      </c>
      <c r="J46" s="48">
        <v>24809</v>
      </c>
      <c r="K46" s="38"/>
      <c r="L46" s="39"/>
      <c r="M46" s="39"/>
      <c r="N46" s="50" t="s">
        <v>84</v>
      </c>
    </row>
    <row r="47" spans="2:14" s="12" customFormat="1" ht="18" customHeight="1">
      <c r="B47" s="24">
        <v>34</v>
      </c>
      <c r="C47" s="8" t="s">
        <v>42</v>
      </c>
      <c r="D47" s="14" t="s">
        <v>85</v>
      </c>
      <c r="E47" s="14" t="s">
        <v>86</v>
      </c>
      <c r="F47" s="34">
        <v>35521</v>
      </c>
      <c r="G47" s="15">
        <v>1</v>
      </c>
      <c r="H47" s="46">
        <v>65713.73</v>
      </c>
      <c r="I47" s="46">
        <v>20417.93</v>
      </c>
      <c r="J47" s="46">
        <v>62121</v>
      </c>
      <c r="K47" s="40"/>
      <c r="L47" s="40"/>
      <c r="M47" s="40"/>
      <c r="N47" s="41" t="s">
        <v>87</v>
      </c>
    </row>
    <row r="48" spans="2:14" s="12" customFormat="1" ht="18" customHeight="1">
      <c r="B48" s="24">
        <v>35</v>
      </c>
      <c r="C48" s="8" t="s">
        <v>42</v>
      </c>
      <c r="D48" s="14" t="s">
        <v>88</v>
      </c>
      <c r="E48" s="14" t="s">
        <v>89</v>
      </c>
      <c r="F48" s="34">
        <v>23437</v>
      </c>
      <c r="G48" s="15">
        <v>1</v>
      </c>
      <c r="H48" s="46">
        <v>3057.1</v>
      </c>
      <c r="I48" s="46">
        <v>120.07</v>
      </c>
      <c r="J48" s="46">
        <v>4110</v>
      </c>
      <c r="K48" s="40"/>
      <c r="L48" s="40"/>
      <c r="M48" s="40"/>
      <c r="N48" s="41" t="s">
        <v>87</v>
      </c>
    </row>
    <row r="49" spans="1:14" s="12" customFormat="1" ht="18" customHeight="1">
      <c r="B49" s="24">
        <v>36</v>
      </c>
      <c r="C49" s="8" t="s">
        <v>42</v>
      </c>
      <c r="D49" s="14" t="s">
        <v>90</v>
      </c>
      <c r="E49" s="14" t="s">
        <v>91</v>
      </c>
      <c r="F49" s="34">
        <v>15707</v>
      </c>
      <c r="G49" s="15">
        <v>1</v>
      </c>
      <c r="H49" s="46">
        <v>333901</v>
      </c>
      <c r="I49" s="46">
        <v>111424.85</v>
      </c>
      <c r="J49" s="46">
        <v>200124</v>
      </c>
      <c r="K49" s="40"/>
      <c r="L49" s="40"/>
      <c r="M49" s="40"/>
      <c r="N49" s="41" t="s">
        <v>87</v>
      </c>
    </row>
    <row r="50" spans="1:14" s="12" customFormat="1" ht="18" customHeight="1">
      <c r="B50" s="24">
        <v>37</v>
      </c>
      <c r="C50" s="8" t="s">
        <v>42</v>
      </c>
      <c r="D50" s="14" t="s">
        <v>92</v>
      </c>
      <c r="E50" s="14" t="s">
        <v>93</v>
      </c>
      <c r="F50" s="34">
        <v>32781</v>
      </c>
      <c r="G50" s="15">
        <v>1</v>
      </c>
      <c r="H50" s="46">
        <v>33048.46</v>
      </c>
      <c r="I50" s="46">
        <v>5679.58</v>
      </c>
      <c r="J50" s="46">
        <v>39784</v>
      </c>
      <c r="K50" s="40"/>
      <c r="L50" s="40"/>
      <c r="M50" s="40"/>
      <c r="N50" s="41" t="s">
        <v>87</v>
      </c>
    </row>
    <row r="51" spans="1:14" s="12" customFormat="1" ht="18" customHeight="1">
      <c r="B51" s="24">
        <v>38</v>
      </c>
      <c r="C51" s="8" t="s">
        <v>42</v>
      </c>
      <c r="D51" s="14" t="s">
        <v>94</v>
      </c>
      <c r="E51" s="14" t="s">
        <v>95</v>
      </c>
      <c r="F51" s="34">
        <v>31747</v>
      </c>
      <c r="G51" s="15">
        <v>1</v>
      </c>
      <c r="H51" s="46">
        <v>113324.6</v>
      </c>
      <c r="I51" s="46">
        <v>18407.18</v>
      </c>
      <c r="J51" s="46">
        <v>119451</v>
      </c>
      <c r="K51" s="40"/>
      <c r="L51" s="40"/>
      <c r="M51" s="40"/>
      <c r="N51" s="41" t="s">
        <v>87</v>
      </c>
    </row>
    <row r="52" spans="1:14" s="12" customFormat="1" ht="18" customHeight="1">
      <c r="B52" s="24">
        <v>39</v>
      </c>
      <c r="C52" s="8" t="s">
        <v>42</v>
      </c>
      <c r="D52" s="14" t="s">
        <v>96</v>
      </c>
      <c r="E52" s="14" t="s">
        <v>97</v>
      </c>
      <c r="F52" s="34">
        <v>31382</v>
      </c>
      <c r="G52" s="15">
        <v>1</v>
      </c>
      <c r="H52" s="46">
        <v>199080.58</v>
      </c>
      <c r="I52" s="46">
        <v>22597.77</v>
      </c>
      <c r="J52" s="46">
        <v>223241</v>
      </c>
      <c r="K52" s="40"/>
      <c r="L52" s="40"/>
      <c r="M52" s="40"/>
      <c r="N52" s="41" t="s">
        <v>87</v>
      </c>
    </row>
    <row r="53" spans="1:14" s="12" customFormat="1" ht="18" customHeight="1">
      <c r="A53" s="36"/>
      <c r="B53" s="24">
        <v>40</v>
      </c>
      <c r="C53" s="8" t="s">
        <v>59</v>
      </c>
      <c r="D53" s="14" t="s">
        <v>43</v>
      </c>
      <c r="E53" s="14" t="s">
        <v>98</v>
      </c>
      <c r="F53" s="34">
        <v>42430</v>
      </c>
      <c r="G53" s="15">
        <v>1</v>
      </c>
      <c r="H53" s="46">
        <v>79623.600000000006</v>
      </c>
      <c r="I53" s="46">
        <v>36723.4</v>
      </c>
      <c r="J53" s="46">
        <v>11634.6</v>
      </c>
      <c r="K53" s="42"/>
      <c r="L53" s="42"/>
      <c r="M53" s="42"/>
      <c r="N53" s="50" t="s">
        <v>99</v>
      </c>
    </row>
    <row r="54" spans="1:14" s="12" customFormat="1" ht="18" customHeight="1">
      <c r="A54" s="36"/>
      <c r="B54" s="24">
        <v>41</v>
      </c>
      <c r="C54" s="8" t="s">
        <v>59</v>
      </c>
      <c r="D54" s="14" t="s">
        <v>43</v>
      </c>
      <c r="E54" s="14" t="s">
        <v>98</v>
      </c>
      <c r="F54" s="34">
        <v>42430</v>
      </c>
      <c r="G54" s="15">
        <v>1</v>
      </c>
      <c r="H54" s="46">
        <v>6636.1</v>
      </c>
      <c r="I54" s="46">
        <v>2373.8000000000002</v>
      </c>
      <c r="J54" s="46">
        <v>95644.800000000003</v>
      </c>
      <c r="K54" s="42"/>
      <c r="L54" s="42"/>
      <c r="M54" s="42"/>
      <c r="N54" s="50" t="s">
        <v>99</v>
      </c>
    </row>
    <row r="55" spans="1:14" s="12" customFormat="1" ht="18" customHeight="1">
      <c r="A55" s="36"/>
      <c r="B55" s="24">
        <v>42</v>
      </c>
      <c r="C55" s="8" t="s">
        <v>69</v>
      </c>
      <c r="D55" s="14" t="s">
        <v>43</v>
      </c>
      <c r="E55" s="14" t="s">
        <v>98</v>
      </c>
      <c r="F55" s="34">
        <v>42430</v>
      </c>
      <c r="G55" s="15">
        <v>1</v>
      </c>
      <c r="H55" s="46">
        <v>142567.29999999999</v>
      </c>
      <c r="I55" s="46">
        <v>49739.199999999997</v>
      </c>
      <c r="J55" s="46">
        <v>96664.2</v>
      </c>
      <c r="K55" s="42"/>
      <c r="L55" s="42"/>
      <c r="M55" s="42"/>
      <c r="N55" s="50" t="s">
        <v>99</v>
      </c>
    </row>
    <row r="56" spans="1:14" s="12" customFormat="1" ht="18" customHeight="1">
      <c r="A56" s="36"/>
      <c r="B56" s="24">
        <v>43</v>
      </c>
      <c r="C56" s="8" t="s">
        <v>65</v>
      </c>
      <c r="D56" s="14" t="s">
        <v>43</v>
      </c>
      <c r="E56" s="14" t="s">
        <v>98</v>
      </c>
      <c r="F56" s="34">
        <v>44196</v>
      </c>
      <c r="G56" s="15">
        <v>1</v>
      </c>
      <c r="H56" s="46">
        <v>1184893.5</v>
      </c>
      <c r="I56" s="46"/>
      <c r="J56" s="46">
        <v>104481.60000000001</v>
      </c>
      <c r="K56" s="42"/>
      <c r="L56" s="42"/>
      <c r="M56" s="42"/>
      <c r="N56" s="50" t="s">
        <v>99</v>
      </c>
    </row>
    <row r="57" spans="1:14" s="12" customFormat="1" ht="18" customHeight="1">
      <c r="A57" s="36"/>
      <c r="B57" s="24">
        <v>44</v>
      </c>
      <c r="C57" s="8" t="s">
        <v>59</v>
      </c>
      <c r="D57" s="14" t="s">
        <v>43</v>
      </c>
      <c r="E57" s="14" t="s">
        <v>98</v>
      </c>
      <c r="F57" s="34">
        <v>44560</v>
      </c>
      <c r="G57" s="15">
        <v>1</v>
      </c>
      <c r="H57" s="46">
        <v>164791.79999999999</v>
      </c>
      <c r="I57" s="46"/>
      <c r="J57" s="46">
        <v>97654.8</v>
      </c>
      <c r="K57" s="42"/>
      <c r="L57" s="42"/>
      <c r="M57" s="42"/>
      <c r="N57" s="50" t="s">
        <v>99</v>
      </c>
    </row>
    <row r="58" spans="1:14" s="12" customFormat="1" ht="18" customHeight="1" thickBot="1">
      <c r="A58" s="36"/>
      <c r="B58" s="24">
        <v>45</v>
      </c>
      <c r="C58" s="8" t="s">
        <v>100</v>
      </c>
      <c r="D58" s="14" t="s">
        <v>43</v>
      </c>
      <c r="E58" s="14" t="s">
        <v>98</v>
      </c>
      <c r="F58" s="34">
        <v>42430</v>
      </c>
      <c r="G58" s="15">
        <v>1</v>
      </c>
      <c r="H58" s="46">
        <v>29808.1</v>
      </c>
      <c r="I58" s="46">
        <v>12743.9</v>
      </c>
      <c r="J58" s="46">
        <v>95818.5</v>
      </c>
      <c r="K58" s="42"/>
      <c r="L58" s="42"/>
      <c r="M58" s="42"/>
      <c r="N58" s="50" t="s">
        <v>99</v>
      </c>
    </row>
    <row r="59" spans="1:14" ht="27.75" customHeight="1" thickBot="1">
      <c r="B59" s="24">
        <v>46</v>
      </c>
      <c r="C59" s="8" t="s">
        <v>59</v>
      </c>
      <c r="D59" s="14" t="s">
        <v>73</v>
      </c>
      <c r="E59" s="14" t="s">
        <v>101</v>
      </c>
      <c r="F59" s="34">
        <v>22586</v>
      </c>
      <c r="G59" s="15">
        <v>1</v>
      </c>
      <c r="H59" s="46">
        <v>26941</v>
      </c>
      <c r="I59" s="46">
        <v>1521</v>
      </c>
      <c r="J59" s="46"/>
      <c r="K59" s="54"/>
      <c r="L59" s="21"/>
      <c r="M59" s="21"/>
      <c r="N59" s="51" t="s">
        <v>102</v>
      </c>
    </row>
    <row r="60" spans="1:14" ht="27.75" customHeight="1" thickBot="1">
      <c r="B60" s="24">
        <v>47</v>
      </c>
      <c r="C60" s="8" t="s">
        <v>59</v>
      </c>
      <c r="D60" s="14" t="s">
        <v>73</v>
      </c>
      <c r="E60" s="14" t="s">
        <v>101</v>
      </c>
      <c r="F60" s="34">
        <v>26238</v>
      </c>
      <c r="G60" s="15">
        <v>1</v>
      </c>
      <c r="H60" s="46">
        <v>14059</v>
      </c>
      <c r="I60" s="46">
        <v>218</v>
      </c>
      <c r="J60" s="46"/>
      <c r="K60" s="21"/>
      <c r="L60" s="21"/>
      <c r="M60" s="21"/>
      <c r="N60" s="51" t="s">
        <v>102</v>
      </c>
    </row>
    <row r="61" spans="1:14" ht="27.75" customHeight="1" thickBot="1">
      <c r="B61" s="24">
        <v>48</v>
      </c>
      <c r="C61" s="8" t="s">
        <v>42</v>
      </c>
      <c r="D61" s="14" t="s">
        <v>73</v>
      </c>
      <c r="E61" s="14" t="s">
        <v>101</v>
      </c>
      <c r="F61" s="34">
        <v>31747</v>
      </c>
      <c r="G61" s="15">
        <v>1</v>
      </c>
      <c r="H61" s="46">
        <v>37170</v>
      </c>
      <c r="I61" s="46">
        <v>5877</v>
      </c>
      <c r="J61" s="46"/>
      <c r="K61" s="21"/>
      <c r="L61" s="21"/>
      <c r="M61" s="21"/>
      <c r="N61" s="51" t="s">
        <v>102</v>
      </c>
    </row>
    <row r="62" spans="1:14" ht="27.75" customHeight="1" thickBot="1">
      <c r="B62" s="24">
        <v>49</v>
      </c>
      <c r="C62" s="8" t="s">
        <v>42</v>
      </c>
      <c r="D62" s="14" t="s">
        <v>73</v>
      </c>
      <c r="E62" s="14" t="s">
        <v>101</v>
      </c>
      <c r="F62" s="34">
        <v>33390</v>
      </c>
      <c r="G62" s="15">
        <v>1</v>
      </c>
      <c r="H62" s="46">
        <v>66679</v>
      </c>
      <c r="I62" s="46">
        <v>12254</v>
      </c>
      <c r="J62" s="46"/>
      <c r="K62" s="21"/>
      <c r="L62" s="21"/>
      <c r="M62" s="21"/>
      <c r="N62" s="51" t="s">
        <v>102</v>
      </c>
    </row>
    <row r="63" spans="1:14" ht="27.75" customHeight="1" thickBot="1">
      <c r="B63" s="24">
        <v>50</v>
      </c>
      <c r="C63" s="8" t="s">
        <v>69</v>
      </c>
      <c r="D63" s="14" t="s">
        <v>73</v>
      </c>
      <c r="E63" s="14" t="s">
        <v>101</v>
      </c>
      <c r="F63" s="34">
        <v>34790</v>
      </c>
      <c r="G63" s="15">
        <v>1</v>
      </c>
      <c r="H63" s="46">
        <v>97713</v>
      </c>
      <c r="I63" s="46">
        <v>14274</v>
      </c>
      <c r="J63" s="46">
        <v>732</v>
      </c>
      <c r="K63" s="21"/>
      <c r="L63" s="21"/>
      <c r="M63" s="21"/>
      <c r="N63" s="51" t="s">
        <v>102</v>
      </c>
    </row>
    <row r="64" spans="1:14" ht="27.75" customHeight="1" thickBot="1">
      <c r="B64" s="24">
        <v>51</v>
      </c>
      <c r="C64" s="8" t="s">
        <v>59</v>
      </c>
      <c r="D64" s="14" t="s">
        <v>73</v>
      </c>
      <c r="E64" s="14" t="s">
        <v>101</v>
      </c>
      <c r="F64" s="34">
        <v>36130</v>
      </c>
      <c r="G64" s="15">
        <v>1</v>
      </c>
      <c r="H64" s="46">
        <v>5393</v>
      </c>
      <c r="I64" s="46">
        <v>1287</v>
      </c>
      <c r="J64" s="46">
        <v>40</v>
      </c>
      <c r="K64" s="21"/>
      <c r="L64" s="21"/>
      <c r="M64" s="21"/>
      <c r="N64" s="51" t="s">
        <v>102</v>
      </c>
    </row>
    <row r="65" spans="2:14" ht="27.75" customHeight="1" thickBot="1">
      <c r="B65" s="24">
        <v>52</v>
      </c>
      <c r="C65" s="8" t="s">
        <v>70</v>
      </c>
      <c r="D65" s="14" t="s">
        <v>73</v>
      </c>
      <c r="E65" s="14" t="s">
        <v>101</v>
      </c>
      <c r="F65" s="34">
        <v>36130</v>
      </c>
      <c r="G65" s="15">
        <v>1</v>
      </c>
      <c r="H65" s="46">
        <v>20082</v>
      </c>
      <c r="I65" s="46">
        <v>4794</v>
      </c>
      <c r="J65" s="46">
        <v>150</v>
      </c>
      <c r="K65" s="21"/>
      <c r="L65" s="21"/>
      <c r="M65" s="21"/>
      <c r="N65" s="51" t="s">
        <v>102</v>
      </c>
    </row>
    <row r="66" spans="2:14" ht="27.75" customHeight="1" thickBot="1">
      <c r="B66" s="24">
        <v>53</v>
      </c>
      <c r="C66" s="8" t="s">
        <v>42</v>
      </c>
      <c r="D66" s="14" t="s">
        <v>73</v>
      </c>
      <c r="E66" s="14" t="s">
        <v>101</v>
      </c>
      <c r="F66" s="34">
        <v>36130</v>
      </c>
      <c r="G66" s="15">
        <v>1</v>
      </c>
      <c r="H66" s="46">
        <v>3800</v>
      </c>
      <c r="I66" s="46">
        <v>907</v>
      </c>
      <c r="J66" s="46">
        <v>28</v>
      </c>
      <c r="K66" s="21"/>
      <c r="L66" s="21"/>
      <c r="M66" s="21"/>
      <c r="N66" s="51" t="s">
        <v>102</v>
      </c>
    </row>
    <row r="67" spans="2:14" ht="27.75" customHeight="1" thickBot="1">
      <c r="B67" s="24">
        <v>54</v>
      </c>
      <c r="C67" s="8" t="s">
        <v>42</v>
      </c>
      <c r="D67" s="14" t="s">
        <v>73</v>
      </c>
      <c r="E67" s="14" t="s">
        <v>101</v>
      </c>
      <c r="F67" s="34">
        <v>36130</v>
      </c>
      <c r="G67" s="15">
        <v>1</v>
      </c>
      <c r="H67" s="46">
        <v>160584</v>
      </c>
      <c r="I67" s="46">
        <v>38340</v>
      </c>
      <c r="J67" s="46">
        <v>1204</v>
      </c>
      <c r="K67" s="21"/>
      <c r="L67" s="21"/>
      <c r="M67" s="21"/>
      <c r="N67" s="51" t="s">
        <v>102</v>
      </c>
    </row>
    <row r="68" spans="2:14" ht="27.75" customHeight="1" thickBot="1">
      <c r="B68" s="24">
        <v>55</v>
      </c>
      <c r="C68" s="8" t="s">
        <v>42</v>
      </c>
      <c r="D68" s="14" t="s">
        <v>73</v>
      </c>
      <c r="E68" s="14" t="s">
        <v>101</v>
      </c>
      <c r="F68" s="34">
        <v>36130</v>
      </c>
      <c r="G68" s="15">
        <v>1</v>
      </c>
      <c r="H68" s="46">
        <v>261786</v>
      </c>
      <c r="I68" s="46">
        <v>62503</v>
      </c>
      <c r="J68" s="46">
        <v>1963</v>
      </c>
      <c r="K68" s="21"/>
      <c r="L68" s="21"/>
      <c r="M68" s="21"/>
      <c r="N68" s="51" t="s">
        <v>102</v>
      </c>
    </row>
    <row r="69" spans="2:14" ht="27.75" customHeight="1" thickBot="1">
      <c r="B69" s="24">
        <v>56</v>
      </c>
      <c r="C69" s="8" t="s">
        <v>42</v>
      </c>
      <c r="D69" s="14" t="s">
        <v>73</v>
      </c>
      <c r="E69" s="14" t="s">
        <v>101</v>
      </c>
      <c r="F69" s="34">
        <v>36130</v>
      </c>
      <c r="G69" s="15">
        <v>1</v>
      </c>
      <c r="H69" s="46">
        <v>95697</v>
      </c>
      <c r="I69" s="46">
        <v>22848</v>
      </c>
      <c r="J69" s="46">
        <v>717</v>
      </c>
      <c r="K69" s="21"/>
      <c r="L69" s="21"/>
      <c r="M69" s="21"/>
      <c r="N69" s="51" t="s">
        <v>102</v>
      </c>
    </row>
    <row r="70" spans="2:14" ht="27.75" customHeight="1" thickBot="1">
      <c r="B70" s="24">
        <v>57</v>
      </c>
      <c r="C70" s="8" t="s">
        <v>42</v>
      </c>
      <c r="D70" s="14" t="s">
        <v>73</v>
      </c>
      <c r="E70" s="14" t="s">
        <v>101</v>
      </c>
      <c r="F70" s="34">
        <v>36130</v>
      </c>
      <c r="G70" s="15">
        <v>1</v>
      </c>
      <c r="H70" s="46">
        <v>263275</v>
      </c>
      <c r="I70" s="46">
        <v>62858</v>
      </c>
      <c r="J70" s="46">
        <v>1974</v>
      </c>
      <c r="K70" s="21"/>
      <c r="L70" s="21"/>
      <c r="M70" s="21"/>
      <c r="N70" s="51" t="s">
        <v>102</v>
      </c>
    </row>
    <row r="71" spans="2:14" ht="27.75" customHeight="1" thickBot="1">
      <c r="B71" s="24">
        <v>58</v>
      </c>
      <c r="C71" s="8" t="s">
        <v>59</v>
      </c>
      <c r="D71" s="14" t="s">
        <v>73</v>
      </c>
      <c r="E71" s="14" t="s">
        <v>101</v>
      </c>
      <c r="F71" s="34">
        <v>36130</v>
      </c>
      <c r="G71" s="15">
        <v>1</v>
      </c>
      <c r="H71" s="46">
        <v>212666</v>
      </c>
      <c r="I71" s="46">
        <v>50775</v>
      </c>
      <c r="J71" s="46">
        <v>1594</v>
      </c>
      <c r="K71" s="21"/>
      <c r="L71" s="21"/>
      <c r="M71" s="21"/>
      <c r="N71" s="51" t="s">
        <v>102</v>
      </c>
    </row>
    <row r="72" spans="2:14" ht="27.75" customHeight="1" thickBot="1">
      <c r="B72" s="24">
        <v>59</v>
      </c>
      <c r="C72" s="8" t="s">
        <v>42</v>
      </c>
      <c r="D72" s="14" t="s">
        <v>73</v>
      </c>
      <c r="E72" s="14" t="s">
        <v>101</v>
      </c>
      <c r="F72" s="34">
        <v>37256</v>
      </c>
      <c r="G72" s="15">
        <v>1</v>
      </c>
      <c r="H72" s="46">
        <v>37694</v>
      </c>
      <c r="I72" s="46">
        <v>14552</v>
      </c>
      <c r="J72" s="46">
        <v>282</v>
      </c>
      <c r="K72" s="21"/>
      <c r="L72" s="21"/>
      <c r="M72" s="21"/>
      <c r="N72" s="51" t="s">
        <v>102</v>
      </c>
    </row>
    <row r="73" spans="2:14" ht="27.75" customHeight="1" thickBot="1">
      <c r="B73" s="24">
        <v>60</v>
      </c>
      <c r="C73" s="8" t="s">
        <v>42</v>
      </c>
      <c r="D73" s="14" t="s">
        <v>73</v>
      </c>
      <c r="E73" s="14" t="s">
        <v>101</v>
      </c>
      <c r="F73" s="34">
        <v>37256</v>
      </c>
      <c r="G73" s="15">
        <v>1</v>
      </c>
      <c r="H73" s="46">
        <v>70481</v>
      </c>
      <c r="I73" s="46">
        <v>27211</v>
      </c>
      <c r="J73" s="46">
        <v>528</v>
      </c>
      <c r="K73" s="21"/>
      <c r="L73" s="21"/>
      <c r="M73" s="21"/>
      <c r="N73" s="51" t="s">
        <v>102</v>
      </c>
    </row>
    <row r="74" spans="2:14" ht="27.75" customHeight="1" thickBot="1">
      <c r="B74" s="24">
        <v>61</v>
      </c>
      <c r="C74" s="8" t="s">
        <v>42</v>
      </c>
      <c r="D74" s="14" t="s">
        <v>73</v>
      </c>
      <c r="E74" s="14" t="s">
        <v>101</v>
      </c>
      <c r="F74" s="34">
        <v>37256</v>
      </c>
      <c r="G74" s="15">
        <v>1</v>
      </c>
      <c r="H74" s="46">
        <v>4686</v>
      </c>
      <c r="I74" s="46">
        <v>1820</v>
      </c>
      <c r="J74" s="46">
        <v>35</v>
      </c>
      <c r="K74" s="21"/>
      <c r="L74" s="21"/>
      <c r="M74" s="21"/>
      <c r="N74" s="51" t="s">
        <v>102</v>
      </c>
    </row>
    <row r="75" spans="2:14" ht="27.75" customHeight="1" thickBot="1">
      <c r="B75" s="24">
        <v>62</v>
      </c>
      <c r="C75" s="8" t="s">
        <v>42</v>
      </c>
      <c r="D75" s="14" t="s">
        <v>73</v>
      </c>
      <c r="E75" s="14" t="s">
        <v>101</v>
      </c>
      <c r="F75" s="34">
        <v>38351</v>
      </c>
      <c r="G75" s="15">
        <v>1</v>
      </c>
      <c r="H75" s="46">
        <v>86894</v>
      </c>
      <c r="I75" s="46">
        <v>52090</v>
      </c>
      <c r="J75" s="46">
        <v>651</v>
      </c>
      <c r="K75" s="21"/>
      <c r="L75" s="21"/>
      <c r="M75" s="21"/>
      <c r="N75" s="51" t="s">
        <v>102</v>
      </c>
    </row>
    <row r="76" spans="2:14" ht="27.75" customHeight="1" thickBot="1">
      <c r="B76" s="24">
        <v>63</v>
      </c>
      <c r="C76" s="8" t="s">
        <v>42</v>
      </c>
      <c r="D76" s="14" t="s">
        <v>73</v>
      </c>
      <c r="E76" s="14" t="s">
        <v>101</v>
      </c>
      <c r="F76" s="34">
        <v>45840</v>
      </c>
      <c r="G76" s="15">
        <v>1</v>
      </c>
      <c r="H76" s="46">
        <v>1342</v>
      </c>
      <c r="I76" s="46"/>
      <c r="J76" s="46"/>
      <c r="K76" s="21"/>
      <c r="L76" s="21"/>
      <c r="M76" s="21"/>
      <c r="N76" s="51" t="s">
        <v>102</v>
      </c>
    </row>
    <row r="77" spans="2:14" ht="27.75" customHeight="1" thickBot="1">
      <c r="B77" s="24">
        <v>64</v>
      </c>
      <c r="C77" s="8" t="s">
        <v>42</v>
      </c>
      <c r="D77" s="14" t="s">
        <v>73</v>
      </c>
      <c r="E77" s="14" t="s">
        <v>101</v>
      </c>
      <c r="F77" s="34">
        <v>38686</v>
      </c>
      <c r="G77" s="15">
        <v>1</v>
      </c>
      <c r="H77" s="46">
        <v>16160</v>
      </c>
      <c r="I77" s="46">
        <v>6058</v>
      </c>
      <c r="J77" s="46">
        <v>121</v>
      </c>
      <c r="K77" s="21"/>
      <c r="L77" s="21"/>
      <c r="M77" s="21"/>
      <c r="N77" s="51" t="s">
        <v>102</v>
      </c>
    </row>
    <row r="78" spans="2:14" ht="27.75" customHeight="1" thickBot="1">
      <c r="B78" s="24">
        <v>65</v>
      </c>
      <c r="C78" s="8" t="s">
        <v>42</v>
      </c>
      <c r="D78" s="14" t="s">
        <v>73</v>
      </c>
      <c r="E78" s="14" t="s">
        <v>101</v>
      </c>
      <c r="F78" s="34">
        <v>39538</v>
      </c>
      <c r="G78" s="15">
        <v>1</v>
      </c>
      <c r="H78" s="46">
        <v>16134</v>
      </c>
      <c r="I78" s="46">
        <v>8652</v>
      </c>
      <c r="J78" s="46">
        <v>121</v>
      </c>
      <c r="K78" s="21"/>
      <c r="L78" s="21"/>
      <c r="M78" s="21"/>
      <c r="N78" s="51" t="s">
        <v>102</v>
      </c>
    </row>
    <row r="79" spans="2:14" ht="27.75" customHeight="1" thickBot="1">
      <c r="B79" s="24">
        <v>66</v>
      </c>
      <c r="C79" s="8" t="s">
        <v>42</v>
      </c>
      <c r="D79" s="14" t="s">
        <v>73</v>
      </c>
      <c r="E79" s="14" t="s">
        <v>101</v>
      </c>
      <c r="F79" s="34">
        <v>39568</v>
      </c>
      <c r="G79" s="15">
        <v>1</v>
      </c>
      <c r="H79" s="46">
        <v>88709</v>
      </c>
      <c r="I79" s="46">
        <v>42567</v>
      </c>
      <c r="J79" s="46">
        <v>665</v>
      </c>
      <c r="K79" s="21"/>
      <c r="L79" s="21"/>
      <c r="M79" s="21"/>
      <c r="N79" s="51" t="s">
        <v>102</v>
      </c>
    </row>
    <row r="80" spans="2:14" ht="27.75" customHeight="1" thickBot="1">
      <c r="B80" s="24">
        <v>67</v>
      </c>
      <c r="C80" s="8" t="s">
        <v>71</v>
      </c>
      <c r="D80" s="14" t="s">
        <v>73</v>
      </c>
      <c r="E80" s="14" t="s">
        <v>101</v>
      </c>
      <c r="F80" s="34">
        <v>39721</v>
      </c>
      <c r="G80" s="15">
        <v>1</v>
      </c>
      <c r="H80" s="46">
        <v>14159</v>
      </c>
      <c r="I80" s="46">
        <v>519</v>
      </c>
      <c r="J80" s="46"/>
      <c r="K80" s="21"/>
      <c r="L80" s="21"/>
      <c r="M80" s="21"/>
      <c r="N80" s="51" t="s">
        <v>102</v>
      </c>
    </row>
    <row r="81" spans="2:14" ht="27.75" customHeight="1" thickBot="1">
      <c r="B81" s="24">
        <v>68</v>
      </c>
      <c r="C81" s="8" t="s">
        <v>71</v>
      </c>
      <c r="D81" s="14" t="s">
        <v>73</v>
      </c>
      <c r="E81" s="14" t="s">
        <v>101</v>
      </c>
      <c r="F81" s="34">
        <v>39721</v>
      </c>
      <c r="G81" s="15">
        <v>1</v>
      </c>
      <c r="H81" s="46">
        <v>84808</v>
      </c>
      <c r="I81" s="46">
        <v>5952</v>
      </c>
      <c r="J81" s="46"/>
      <c r="K81" s="21"/>
      <c r="L81" s="21"/>
      <c r="M81" s="21"/>
      <c r="N81" s="51" t="s">
        <v>102</v>
      </c>
    </row>
    <row r="82" spans="2:14" ht="27.75" customHeight="1" thickBot="1">
      <c r="B82" s="24">
        <v>69</v>
      </c>
      <c r="C82" s="8" t="s">
        <v>42</v>
      </c>
      <c r="D82" s="14" t="s">
        <v>73</v>
      </c>
      <c r="E82" s="14" t="s">
        <v>101</v>
      </c>
      <c r="F82" s="34">
        <v>40175</v>
      </c>
      <c r="G82" s="15">
        <v>1</v>
      </c>
      <c r="H82" s="46">
        <v>440879</v>
      </c>
      <c r="I82" s="46">
        <v>198223</v>
      </c>
      <c r="J82" s="46">
        <v>3306</v>
      </c>
      <c r="K82" s="21"/>
      <c r="L82" s="21"/>
      <c r="M82" s="21"/>
      <c r="N82" s="51" t="s">
        <v>102</v>
      </c>
    </row>
    <row r="83" spans="2:14" ht="35.25" customHeight="1" thickBot="1">
      <c r="B83" s="24">
        <v>70</v>
      </c>
      <c r="C83" s="8" t="s">
        <v>42</v>
      </c>
      <c r="D83" s="14" t="s">
        <v>73</v>
      </c>
      <c r="E83" s="14" t="s">
        <v>101</v>
      </c>
      <c r="F83" s="34">
        <v>40543</v>
      </c>
      <c r="G83" s="15">
        <v>1</v>
      </c>
      <c r="H83" s="46">
        <v>532777</v>
      </c>
      <c r="I83" s="46">
        <v>227970</v>
      </c>
      <c r="J83" s="46">
        <v>3995</v>
      </c>
      <c r="K83" s="21"/>
      <c r="L83" s="21"/>
      <c r="M83" s="21"/>
      <c r="N83" s="51" t="s">
        <v>102</v>
      </c>
    </row>
    <row r="84" spans="2:14" ht="39" customHeight="1" thickBot="1">
      <c r="B84" s="24">
        <v>71</v>
      </c>
      <c r="C84" s="8" t="s">
        <v>42</v>
      </c>
      <c r="D84" s="14" t="s">
        <v>73</v>
      </c>
      <c r="E84" s="14" t="s">
        <v>101</v>
      </c>
      <c r="F84" s="34">
        <v>40695</v>
      </c>
      <c r="G84" s="15">
        <v>1</v>
      </c>
      <c r="H84" s="46">
        <v>1443070</v>
      </c>
      <c r="I84" s="46">
        <v>593007</v>
      </c>
      <c r="J84" s="46">
        <v>18038</v>
      </c>
      <c r="K84" s="21"/>
      <c r="L84" s="21"/>
      <c r="M84" s="21"/>
      <c r="N84" s="51" t="s">
        <v>102</v>
      </c>
    </row>
    <row r="85" spans="2:14" ht="27.75" customHeight="1" thickBot="1">
      <c r="B85" s="24">
        <v>72</v>
      </c>
      <c r="C85" s="8" t="s">
        <v>42</v>
      </c>
      <c r="D85" s="14" t="s">
        <v>73</v>
      </c>
      <c r="E85" s="14" t="s">
        <v>101</v>
      </c>
      <c r="F85" s="34">
        <v>40908</v>
      </c>
      <c r="G85" s="15">
        <v>1</v>
      </c>
      <c r="H85" s="46">
        <v>696365</v>
      </c>
      <c r="I85" s="46">
        <v>277605</v>
      </c>
      <c r="J85" s="46">
        <v>5222</v>
      </c>
      <c r="K85" s="21"/>
      <c r="L85" s="21"/>
      <c r="M85" s="21"/>
      <c r="N85" s="51" t="s">
        <v>102</v>
      </c>
    </row>
    <row r="86" spans="2:14" ht="37.5" customHeight="1" thickBot="1">
      <c r="B86" s="24">
        <v>73</v>
      </c>
      <c r="C86" s="8" t="s">
        <v>71</v>
      </c>
      <c r="D86" s="14" t="s">
        <v>73</v>
      </c>
      <c r="E86" s="14" t="s">
        <v>101</v>
      </c>
      <c r="F86" s="34">
        <v>40908</v>
      </c>
      <c r="G86" s="15">
        <v>1</v>
      </c>
      <c r="H86" s="46">
        <v>888500</v>
      </c>
      <c r="I86" s="46">
        <v>354272</v>
      </c>
      <c r="J86" s="46">
        <v>11106</v>
      </c>
      <c r="K86" s="21"/>
      <c r="L86" s="21"/>
      <c r="M86" s="21"/>
      <c r="N86" s="51" t="s">
        <v>102</v>
      </c>
    </row>
    <row r="87" spans="2:14" ht="27.75" customHeight="1" thickBot="1">
      <c r="B87" s="24">
        <v>74</v>
      </c>
      <c r="C87" s="8" t="s">
        <v>59</v>
      </c>
      <c r="D87" s="14" t="s">
        <v>73</v>
      </c>
      <c r="E87" s="14" t="s">
        <v>101</v>
      </c>
      <c r="F87" s="34">
        <v>40908</v>
      </c>
      <c r="G87" s="15">
        <v>1</v>
      </c>
      <c r="H87" s="46">
        <v>109519</v>
      </c>
      <c r="I87" s="46">
        <v>43239</v>
      </c>
      <c r="J87" s="46">
        <v>1368</v>
      </c>
      <c r="K87" s="21"/>
      <c r="L87" s="21"/>
      <c r="M87" s="21"/>
      <c r="N87" s="51" t="s">
        <v>102</v>
      </c>
    </row>
    <row r="88" spans="2:14" ht="27.75" customHeight="1" thickBot="1">
      <c r="B88" s="24">
        <v>75</v>
      </c>
      <c r="C88" s="8" t="s">
        <v>59</v>
      </c>
      <c r="D88" s="14" t="s">
        <v>73</v>
      </c>
      <c r="E88" s="14" t="s">
        <v>101</v>
      </c>
      <c r="F88" s="34">
        <v>40908</v>
      </c>
      <c r="G88" s="15">
        <v>1</v>
      </c>
      <c r="H88" s="46">
        <v>145193</v>
      </c>
      <c r="I88" s="46">
        <v>57324</v>
      </c>
      <c r="J88" s="46">
        <v>1814</v>
      </c>
      <c r="K88" s="21"/>
      <c r="L88" s="21"/>
      <c r="M88" s="21"/>
      <c r="N88" s="51" t="s">
        <v>102</v>
      </c>
    </row>
    <row r="89" spans="2:14" ht="27.75" customHeight="1" thickBot="1">
      <c r="B89" s="24">
        <v>76</v>
      </c>
      <c r="C89" s="8" t="s">
        <v>59</v>
      </c>
      <c r="D89" s="14" t="s">
        <v>73</v>
      </c>
      <c r="E89" s="14" t="s">
        <v>101</v>
      </c>
      <c r="F89" s="34">
        <v>40908</v>
      </c>
      <c r="G89" s="15">
        <v>1</v>
      </c>
      <c r="H89" s="46">
        <v>1723143</v>
      </c>
      <c r="I89" s="46">
        <v>743082</v>
      </c>
      <c r="J89" s="46">
        <v>21539</v>
      </c>
      <c r="K89" s="21"/>
      <c r="L89" s="21"/>
      <c r="M89" s="21"/>
      <c r="N89" s="51" t="s">
        <v>102</v>
      </c>
    </row>
    <row r="90" spans="2:14" ht="27.75" customHeight="1" thickBot="1">
      <c r="B90" s="24">
        <v>77</v>
      </c>
      <c r="C90" s="8" t="s">
        <v>42</v>
      </c>
      <c r="D90" s="14" t="s">
        <v>73</v>
      </c>
      <c r="E90" s="14" t="s">
        <v>101</v>
      </c>
      <c r="F90" s="34">
        <v>41639</v>
      </c>
      <c r="G90" s="15">
        <v>1</v>
      </c>
      <c r="H90" s="46">
        <v>12090</v>
      </c>
      <c r="I90" s="46">
        <v>4131</v>
      </c>
      <c r="J90" s="46">
        <v>90</v>
      </c>
      <c r="K90" s="21"/>
      <c r="L90" s="21"/>
      <c r="M90" s="21"/>
      <c r="N90" s="51" t="s">
        <v>102</v>
      </c>
    </row>
    <row r="91" spans="2:14" ht="27.75" customHeight="1" thickBot="1">
      <c r="B91" s="24">
        <v>78</v>
      </c>
      <c r="C91" s="8" t="s">
        <v>42</v>
      </c>
      <c r="D91" s="14" t="s">
        <v>73</v>
      </c>
      <c r="E91" s="14" t="s">
        <v>101</v>
      </c>
      <c r="F91" s="34">
        <v>41639</v>
      </c>
      <c r="G91" s="15">
        <v>1</v>
      </c>
      <c r="H91" s="46">
        <v>12090</v>
      </c>
      <c r="I91" s="46">
        <v>4131</v>
      </c>
      <c r="J91" s="46">
        <v>90</v>
      </c>
      <c r="K91" s="21"/>
      <c r="L91" s="21"/>
      <c r="M91" s="21"/>
      <c r="N91" s="51" t="s">
        <v>102</v>
      </c>
    </row>
    <row r="92" spans="2:14" ht="27.75" customHeight="1" thickBot="1">
      <c r="B92" s="24">
        <v>79</v>
      </c>
      <c r="C92" s="8" t="s">
        <v>42</v>
      </c>
      <c r="D92" s="14" t="s">
        <v>73</v>
      </c>
      <c r="E92" s="14" t="s">
        <v>101</v>
      </c>
      <c r="F92" s="34">
        <v>42004</v>
      </c>
      <c r="G92" s="15">
        <v>1</v>
      </c>
      <c r="H92" s="46">
        <v>234507</v>
      </c>
      <c r="I92" s="46">
        <v>84895</v>
      </c>
      <c r="J92" s="46">
        <v>1758</v>
      </c>
      <c r="K92" s="21"/>
      <c r="L92" s="21"/>
      <c r="M92" s="21"/>
      <c r="N92" s="51" t="s">
        <v>102</v>
      </c>
    </row>
    <row r="93" spans="2:14" ht="34.5" customHeight="1" thickBot="1">
      <c r="B93" s="24">
        <v>80</v>
      </c>
      <c r="C93" s="8" t="s">
        <v>42</v>
      </c>
      <c r="D93" s="14" t="s">
        <v>73</v>
      </c>
      <c r="E93" s="14" t="s">
        <v>101</v>
      </c>
      <c r="F93" s="34">
        <v>43199</v>
      </c>
      <c r="G93" s="15">
        <v>1</v>
      </c>
      <c r="H93" s="46">
        <v>38781</v>
      </c>
      <c r="I93" s="46">
        <v>5042</v>
      </c>
      <c r="J93" s="46">
        <v>290</v>
      </c>
      <c r="K93" s="21"/>
      <c r="L93" s="21"/>
      <c r="M93" s="21"/>
      <c r="N93" s="51" t="s">
        <v>102</v>
      </c>
    </row>
    <row r="94" spans="2:14" ht="36.75" customHeight="1" thickBot="1">
      <c r="B94" s="24">
        <v>81</v>
      </c>
      <c r="C94" s="8" t="s">
        <v>42</v>
      </c>
      <c r="D94" s="14" t="s">
        <v>73</v>
      </c>
      <c r="E94" s="14" t="s">
        <v>101</v>
      </c>
      <c r="F94" s="34">
        <v>43199</v>
      </c>
      <c r="G94" s="15">
        <v>1</v>
      </c>
      <c r="H94" s="46">
        <v>542068</v>
      </c>
      <c r="I94" s="46">
        <v>186881</v>
      </c>
      <c r="J94" s="46">
        <v>6775</v>
      </c>
      <c r="K94" s="21"/>
      <c r="L94" s="21"/>
      <c r="M94" s="21"/>
      <c r="N94" s="51" t="s">
        <v>102</v>
      </c>
    </row>
    <row r="95" spans="2:14" ht="31.5" customHeight="1" thickBot="1">
      <c r="B95" s="24">
        <v>82</v>
      </c>
      <c r="C95" s="8" t="s">
        <v>42</v>
      </c>
      <c r="D95" s="14" t="s">
        <v>73</v>
      </c>
      <c r="E95" s="14" t="s">
        <v>101</v>
      </c>
      <c r="F95" s="34">
        <v>44518</v>
      </c>
      <c r="G95" s="15">
        <v>1</v>
      </c>
      <c r="H95" s="46">
        <v>3329963</v>
      </c>
      <c r="I95" s="46">
        <v>1249890</v>
      </c>
      <c r="J95" s="46">
        <v>41624</v>
      </c>
      <c r="K95" s="21"/>
      <c r="L95" s="21"/>
      <c r="M95" s="21"/>
      <c r="N95" s="51" t="s">
        <v>102</v>
      </c>
    </row>
    <row r="96" spans="2:14" ht="27.75" customHeight="1" thickBot="1">
      <c r="B96" s="24">
        <v>83</v>
      </c>
      <c r="C96" s="8" t="s">
        <v>42</v>
      </c>
      <c r="D96" s="14" t="s">
        <v>73</v>
      </c>
      <c r="E96" s="14" t="s">
        <v>101</v>
      </c>
      <c r="F96" s="34">
        <v>44518</v>
      </c>
      <c r="G96" s="15">
        <v>1</v>
      </c>
      <c r="H96" s="46">
        <v>35483</v>
      </c>
      <c r="I96" s="46"/>
      <c r="J96" s="46">
        <v>443</v>
      </c>
      <c r="K96" s="21"/>
      <c r="L96" s="21"/>
      <c r="M96" s="21"/>
      <c r="N96" s="51" t="s">
        <v>102</v>
      </c>
    </row>
    <row r="97" spans="2:14" ht="27.75" customHeight="1" thickBot="1">
      <c r="B97" s="24">
        <v>84</v>
      </c>
      <c r="C97" s="8" t="s">
        <v>42</v>
      </c>
      <c r="D97" s="14" t="s">
        <v>73</v>
      </c>
      <c r="E97" s="14" t="s">
        <v>103</v>
      </c>
      <c r="F97" s="34">
        <v>22463</v>
      </c>
      <c r="G97" s="15">
        <v>1</v>
      </c>
      <c r="H97" s="46">
        <v>2732154</v>
      </c>
      <c r="I97" s="46">
        <v>86680</v>
      </c>
      <c r="J97" s="46">
        <v>20491</v>
      </c>
      <c r="K97" s="21"/>
      <c r="L97" s="21"/>
      <c r="M97" s="21"/>
      <c r="N97" s="51" t="s">
        <v>102</v>
      </c>
    </row>
    <row r="98" spans="2:14" ht="27.75" customHeight="1" thickBot="1">
      <c r="B98" s="24">
        <v>85</v>
      </c>
      <c r="C98" s="8" t="s">
        <v>42</v>
      </c>
      <c r="D98" s="14" t="s">
        <v>73</v>
      </c>
      <c r="E98" s="14" t="s">
        <v>103</v>
      </c>
      <c r="F98" s="34">
        <v>33390</v>
      </c>
      <c r="G98" s="15">
        <v>1</v>
      </c>
      <c r="H98" s="46">
        <v>83737</v>
      </c>
      <c r="I98" s="46">
        <v>15451</v>
      </c>
      <c r="J98" s="46"/>
      <c r="K98" s="21"/>
      <c r="L98" s="21"/>
      <c r="M98" s="21"/>
      <c r="N98" s="51" t="s">
        <v>102</v>
      </c>
    </row>
    <row r="99" spans="2:14" ht="16.5" thickBot="1">
      <c r="B99" s="24">
        <v>86</v>
      </c>
      <c r="C99" s="8" t="s">
        <v>42</v>
      </c>
      <c r="D99" s="14" t="s">
        <v>114</v>
      </c>
      <c r="E99" s="14" t="s">
        <v>104</v>
      </c>
      <c r="F99" s="34">
        <v>17533</v>
      </c>
      <c r="G99" s="15">
        <v>31</v>
      </c>
      <c r="H99" s="46">
        <f>742759785.602439/1000</f>
        <v>742759.78560243908</v>
      </c>
      <c r="I99" s="46">
        <f>70504451.86/1000</f>
        <v>70504.451860000001</v>
      </c>
      <c r="J99" s="46">
        <f>(675545985.41+64277316.78+21431247.5+5104090.84+1535875.8)/1000</f>
        <v>767894.5163299999</v>
      </c>
      <c r="K99" s="21"/>
      <c r="L99" s="21"/>
      <c r="M99" s="21"/>
      <c r="N99" s="52" t="s">
        <v>105</v>
      </c>
    </row>
    <row r="100" spans="2:14" ht="16.5" thickBot="1">
      <c r="B100" s="24">
        <v>87</v>
      </c>
      <c r="C100" s="8" t="s">
        <v>42</v>
      </c>
      <c r="D100" s="14" t="s">
        <v>115</v>
      </c>
      <c r="E100" s="14" t="s">
        <v>106</v>
      </c>
      <c r="F100" s="34">
        <v>31199</v>
      </c>
      <c r="G100" s="15">
        <v>1</v>
      </c>
      <c r="H100" s="46">
        <f>17712.4133051795/1000</f>
        <v>17.712413305179499</v>
      </c>
      <c r="I100" s="46">
        <f>452.11/1000</f>
        <v>0.45211000000000001</v>
      </c>
      <c r="J100" s="46"/>
      <c r="K100" s="21"/>
      <c r="L100" s="21"/>
      <c r="M100" s="21"/>
      <c r="N100" s="43" t="s">
        <v>105</v>
      </c>
    </row>
    <row r="101" spans="2:14" ht="60.75" customHeight="1" thickBot="1">
      <c r="B101" s="24">
        <v>88</v>
      </c>
      <c r="C101" s="8" t="s">
        <v>113</v>
      </c>
      <c r="D101" s="14" t="s">
        <v>115</v>
      </c>
      <c r="E101" s="14" t="s">
        <v>107</v>
      </c>
      <c r="F101" s="34">
        <v>25173</v>
      </c>
      <c r="G101" s="15">
        <v>1</v>
      </c>
      <c r="H101" s="46">
        <f>96343667.8842559/1000</f>
        <v>96343.667884255905</v>
      </c>
      <c r="I101" s="46"/>
      <c r="J101" s="46"/>
      <c r="K101" s="21"/>
      <c r="L101" s="21"/>
      <c r="M101" s="21"/>
      <c r="N101" s="43" t="s">
        <v>105</v>
      </c>
    </row>
    <row r="102" spans="2:14" s="44" customFormat="1" ht="47.25" customHeight="1" thickBot="1">
      <c r="B102" s="24">
        <v>89</v>
      </c>
      <c r="C102" s="8" t="s">
        <v>42</v>
      </c>
      <c r="D102" s="14" t="s">
        <v>116</v>
      </c>
      <c r="E102" s="14" t="s">
        <v>110</v>
      </c>
      <c r="F102" s="34">
        <v>15707</v>
      </c>
      <c r="G102" s="15">
        <v>49</v>
      </c>
      <c r="H102" s="46">
        <v>2837117.9088099999</v>
      </c>
      <c r="I102" s="46">
        <v>775177.83065999998</v>
      </c>
      <c r="J102" s="46">
        <v>4672185.066776922</v>
      </c>
      <c r="K102" s="55"/>
      <c r="L102" s="55"/>
      <c r="M102" s="55"/>
      <c r="N102" s="53" t="s">
        <v>111</v>
      </c>
    </row>
    <row r="103" spans="2:14" s="44" customFormat="1" ht="47.25" customHeight="1" thickBot="1">
      <c r="B103" s="24">
        <v>90</v>
      </c>
      <c r="C103" s="8" t="s">
        <v>42</v>
      </c>
      <c r="D103" s="14" t="s">
        <v>116</v>
      </c>
      <c r="E103" s="14" t="s">
        <v>108</v>
      </c>
      <c r="F103" s="34">
        <v>41453</v>
      </c>
      <c r="G103" s="15">
        <v>1</v>
      </c>
      <c r="H103" s="46">
        <v>727689.21742999996</v>
      </c>
      <c r="I103" s="46">
        <v>88704.36997</v>
      </c>
      <c r="J103" s="46">
        <v>194068.35333884615</v>
      </c>
      <c r="K103" s="55"/>
      <c r="L103" s="55"/>
      <c r="M103" s="55"/>
      <c r="N103" s="45" t="s">
        <v>111</v>
      </c>
    </row>
    <row r="104" spans="2:14" s="44" customFormat="1" ht="47.25" customHeight="1" thickBot="1">
      <c r="B104" s="24">
        <v>91</v>
      </c>
      <c r="C104" s="8" t="s">
        <v>42</v>
      </c>
      <c r="D104" s="14" t="s">
        <v>116</v>
      </c>
      <c r="E104" s="14" t="s">
        <v>109</v>
      </c>
      <c r="F104" s="34">
        <v>43035</v>
      </c>
      <c r="G104" s="15">
        <v>1</v>
      </c>
      <c r="H104" s="46">
        <v>4608247.7681999998</v>
      </c>
      <c r="I104" s="46">
        <v>1043409.38563</v>
      </c>
      <c r="J104" s="46">
        <v>194068.35333884615</v>
      </c>
      <c r="K104" s="55"/>
      <c r="L104" s="55"/>
      <c r="M104" s="55"/>
      <c r="N104" s="45" t="s">
        <v>111</v>
      </c>
    </row>
    <row r="105" spans="2:14" ht="19.5" customHeight="1">
      <c r="B105" s="24">
        <v>92</v>
      </c>
      <c r="C105" s="8" t="s">
        <v>42</v>
      </c>
      <c r="D105" s="14" t="s">
        <v>50</v>
      </c>
      <c r="E105" s="14" t="s">
        <v>131</v>
      </c>
      <c r="F105" s="34">
        <v>42343</v>
      </c>
      <c r="G105" s="15">
        <v>1</v>
      </c>
      <c r="H105" s="46">
        <v>335321</v>
      </c>
      <c r="I105" s="46">
        <v>104856</v>
      </c>
      <c r="J105" s="46">
        <v>103111</v>
      </c>
      <c r="K105" s="55"/>
      <c r="L105" s="61"/>
      <c r="M105" s="61"/>
      <c r="N105" s="7" t="s">
        <v>132</v>
      </c>
    </row>
    <row r="106" spans="2:14" ht="15.75">
      <c r="B106" s="24">
        <v>93</v>
      </c>
      <c r="C106" s="8" t="s">
        <v>42</v>
      </c>
      <c r="D106" s="14" t="s">
        <v>50</v>
      </c>
      <c r="E106" s="14" t="s">
        <v>131</v>
      </c>
      <c r="F106" s="34">
        <v>44255</v>
      </c>
      <c r="G106" s="15">
        <v>1</v>
      </c>
      <c r="H106" s="46">
        <v>474590</v>
      </c>
      <c r="I106" s="46">
        <v>133332</v>
      </c>
      <c r="J106" s="46">
        <v>128139</v>
      </c>
      <c r="K106" s="55"/>
      <c r="L106" s="61"/>
      <c r="M106" s="61"/>
      <c r="N106" s="7" t="s">
        <v>132</v>
      </c>
    </row>
    <row r="107" spans="2:14" ht="15.75">
      <c r="B107" s="24">
        <v>94</v>
      </c>
      <c r="C107" s="8" t="s">
        <v>42</v>
      </c>
      <c r="D107" s="14" t="s">
        <v>50</v>
      </c>
      <c r="E107" s="14" t="s">
        <v>131</v>
      </c>
      <c r="F107" s="34">
        <v>44255</v>
      </c>
      <c r="G107" s="15">
        <v>1</v>
      </c>
      <c r="H107" s="46">
        <v>61780</v>
      </c>
      <c r="I107" s="46">
        <v>11322</v>
      </c>
      <c r="J107" s="46">
        <v>61780</v>
      </c>
      <c r="K107" s="55"/>
      <c r="L107" s="21"/>
      <c r="M107" s="21"/>
      <c r="N107" s="7" t="s">
        <v>132</v>
      </c>
    </row>
    <row r="108" spans="2:14" s="12" customFormat="1" ht="18" customHeight="1">
      <c r="B108" s="24">
        <v>95</v>
      </c>
      <c r="C108" s="8" t="s">
        <v>65</v>
      </c>
      <c r="D108" s="14" t="s">
        <v>50</v>
      </c>
      <c r="E108" s="14" t="s">
        <v>131</v>
      </c>
      <c r="F108" s="34">
        <v>42735</v>
      </c>
      <c r="G108" s="15">
        <v>1</v>
      </c>
      <c r="H108" s="46">
        <v>395941.79</v>
      </c>
      <c r="I108" s="46">
        <v>110868.53</v>
      </c>
      <c r="J108" s="46">
        <v>134620.21</v>
      </c>
      <c r="K108" s="17"/>
      <c r="L108" s="17"/>
      <c r="M108" s="17"/>
      <c r="N108" s="13" t="s">
        <v>133</v>
      </c>
    </row>
    <row r="109" spans="2:14" s="12" customFormat="1" ht="18" customHeight="1">
      <c r="B109" s="24">
        <v>96</v>
      </c>
      <c r="C109" s="8" t="s">
        <v>65</v>
      </c>
      <c r="D109" s="14" t="s">
        <v>50</v>
      </c>
      <c r="E109" s="14" t="s">
        <v>131</v>
      </c>
      <c r="F109" s="34">
        <v>42735</v>
      </c>
      <c r="G109" s="15">
        <v>1</v>
      </c>
      <c r="H109" s="46">
        <v>395941.79</v>
      </c>
      <c r="I109" s="46">
        <v>110868.53</v>
      </c>
      <c r="J109" s="46">
        <v>134620.21</v>
      </c>
      <c r="K109" s="17"/>
      <c r="L109" s="17"/>
      <c r="M109" s="17"/>
      <c r="N109" s="13" t="s">
        <v>133</v>
      </c>
    </row>
    <row r="110" spans="2:14" s="12" customFormat="1" ht="18" customHeight="1">
      <c r="B110" s="24">
        <v>97</v>
      </c>
      <c r="C110" s="8" t="s">
        <v>65</v>
      </c>
      <c r="D110" s="14" t="s">
        <v>50</v>
      </c>
      <c r="E110" s="14" t="s">
        <v>131</v>
      </c>
      <c r="F110" s="34">
        <v>42735</v>
      </c>
      <c r="G110" s="15">
        <v>1</v>
      </c>
      <c r="H110" s="46">
        <v>395941.79</v>
      </c>
      <c r="I110" s="46">
        <v>110868.53</v>
      </c>
      <c r="J110" s="46">
        <v>134620.21</v>
      </c>
      <c r="K110" s="17"/>
      <c r="L110" s="17"/>
      <c r="M110" s="17"/>
      <c r="N110" s="13" t="s">
        <v>133</v>
      </c>
    </row>
    <row r="111" spans="2:14" s="12" customFormat="1" ht="18" customHeight="1">
      <c r="B111" s="24">
        <v>98</v>
      </c>
      <c r="C111" s="8" t="s">
        <v>65</v>
      </c>
      <c r="D111" s="14" t="s">
        <v>50</v>
      </c>
      <c r="E111" s="14" t="s">
        <v>131</v>
      </c>
      <c r="F111" s="34">
        <v>42735</v>
      </c>
      <c r="G111" s="15">
        <v>1</v>
      </c>
      <c r="H111" s="46">
        <v>395941.79</v>
      </c>
      <c r="I111" s="46">
        <v>110868.53</v>
      </c>
      <c r="J111" s="46">
        <v>134620.21</v>
      </c>
      <c r="K111" s="17"/>
      <c r="L111" s="17"/>
      <c r="M111" s="17"/>
      <c r="N111" s="13" t="s">
        <v>133</v>
      </c>
    </row>
    <row r="112" spans="2:14" s="12" customFormat="1" ht="18" customHeight="1">
      <c r="B112" s="24">
        <v>99</v>
      </c>
      <c r="C112" s="8" t="s">
        <v>70</v>
      </c>
      <c r="D112" s="14" t="s">
        <v>50</v>
      </c>
      <c r="E112" s="14" t="s">
        <v>131</v>
      </c>
      <c r="F112" s="34">
        <v>39838</v>
      </c>
      <c r="G112" s="15">
        <v>1</v>
      </c>
      <c r="H112" s="46">
        <v>13256.5</v>
      </c>
      <c r="I112" s="46">
        <v>2247.88</v>
      </c>
      <c r="J112" s="46">
        <v>13256.5</v>
      </c>
      <c r="K112" s="17"/>
      <c r="L112" s="17"/>
      <c r="M112" s="17"/>
      <c r="N112" s="13" t="s">
        <v>133</v>
      </c>
    </row>
    <row r="113" spans="2:14" ht="15.75">
      <c r="B113" s="24">
        <v>100</v>
      </c>
      <c r="C113" s="8" t="s">
        <v>42</v>
      </c>
      <c r="D113" s="14" t="s">
        <v>50</v>
      </c>
      <c r="E113" s="14" t="s">
        <v>131</v>
      </c>
      <c r="F113" s="34">
        <v>32172</v>
      </c>
      <c r="G113" s="15">
        <v>1</v>
      </c>
      <c r="H113" s="46">
        <f>14221665.12/1000</f>
        <v>14221.66512</v>
      </c>
      <c r="I113" s="46">
        <f>2655975.52/1000</f>
        <v>2655.97552</v>
      </c>
      <c r="J113" s="46">
        <f>14221665.12/1000</f>
        <v>14221.66512</v>
      </c>
      <c r="K113" s="21"/>
      <c r="L113" s="21"/>
      <c r="M113" s="21"/>
      <c r="N113" s="21" t="s">
        <v>134</v>
      </c>
    </row>
    <row r="114" spans="2:14" ht="15.75">
      <c r="B114" s="24">
        <v>101</v>
      </c>
      <c r="C114" s="8" t="s">
        <v>42</v>
      </c>
      <c r="D114" s="14" t="s">
        <v>50</v>
      </c>
      <c r="E114" s="14" t="s">
        <v>131</v>
      </c>
      <c r="F114" s="34">
        <v>33664</v>
      </c>
      <c r="G114" s="15">
        <v>1</v>
      </c>
      <c r="H114" s="46">
        <f>3707728.07/1000</f>
        <v>3707.7280699999997</v>
      </c>
      <c r="I114" s="46">
        <f>887033.55/1000</f>
        <v>887.03354999999999</v>
      </c>
      <c r="J114" s="46">
        <f>3707728.07/1000</f>
        <v>3707.7280699999997</v>
      </c>
      <c r="K114" s="21"/>
      <c r="L114" s="21"/>
      <c r="M114" s="21"/>
      <c r="N114" s="21" t="s">
        <v>134</v>
      </c>
    </row>
    <row r="115" spans="2:14" ht="15.75">
      <c r="B115" s="24">
        <v>102</v>
      </c>
      <c r="C115" s="8" t="s">
        <v>42</v>
      </c>
      <c r="D115" s="14" t="s">
        <v>50</v>
      </c>
      <c r="E115" s="14" t="s">
        <v>131</v>
      </c>
      <c r="F115" s="34">
        <v>41090</v>
      </c>
      <c r="G115" s="15">
        <v>1</v>
      </c>
      <c r="H115" s="46">
        <f>93178581.37/1000</f>
        <v>93178.58137</v>
      </c>
      <c r="I115" s="46">
        <f>36590499.76/1000</f>
        <v>36590.499759999999</v>
      </c>
      <c r="J115" s="46">
        <v>42396.25</v>
      </c>
      <c r="K115" s="21"/>
      <c r="L115" s="21"/>
      <c r="M115" s="21"/>
      <c r="N115" s="21" t="s">
        <v>134</v>
      </c>
    </row>
    <row r="116" spans="2:14" ht="15.75">
      <c r="B116" s="24">
        <v>103</v>
      </c>
      <c r="C116" s="8" t="s">
        <v>42</v>
      </c>
      <c r="D116" s="14" t="s">
        <v>50</v>
      </c>
      <c r="E116" s="14" t="s">
        <v>131</v>
      </c>
      <c r="F116" s="34">
        <v>41090</v>
      </c>
      <c r="G116" s="15">
        <v>1</v>
      </c>
      <c r="H116" s="46">
        <f>23294645.34/1000</f>
        <v>23294.645339999999</v>
      </c>
      <c r="I116" s="46">
        <f>9147624.97/1000</f>
        <v>9147.6249700000008</v>
      </c>
      <c r="J116" s="46">
        <v>10599.06</v>
      </c>
      <c r="K116" s="21"/>
      <c r="L116" s="21"/>
      <c r="M116" s="21"/>
      <c r="N116" s="21" t="s">
        <v>134</v>
      </c>
    </row>
    <row r="117" spans="2:14" ht="15.75">
      <c r="B117" s="24">
        <v>104</v>
      </c>
      <c r="C117" s="8" t="s">
        <v>42</v>
      </c>
      <c r="D117" s="14" t="s">
        <v>50</v>
      </c>
      <c r="E117" s="14" t="s">
        <v>131</v>
      </c>
      <c r="F117" s="34">
        <v>41090</v>
      </c>
      <c r="G117" s="15">
        <v>1</v>
      </c>
      <c r="H117" s="46">
        <f>53771806.33/1000</f>
        <v>53771.806329999999</v>
      </c>
      <c r="I117" s="46">
        <f>21115767.53/1000</f>
        <v>21115.767530000001</v>
      </c>
      <c r="J117" s="46">
        <v>24466.17</v>
      </c>
      <c r="K117" s="21"/>
      <c r="L117" s="21"/>
      <c r="M117" s="21"/>
      <c r="N117" s="21" t="s">
        <v>134</v>
      </c>
    </row>
    <row r="118" spans="2:14" ht="15.75">
      <c r="B118" s="24">
        <v>105</v>
      </c>
      <c r="C118" s="8" t="s">
        <v>42</v>
      </c>
      <c r="D118" s="14" t="s">
        <v>50</v>
      </c>
      <c r="E118" s="14" t="s">
        <v>131</v>
      </c>
      <c r="F118" s="34">
        <v>41090</v>
      </c>
      <c r="G118" s="15">
        <v>1</v>
      </c>
      <c r="H118" s="46">
        <f>966727781.67/1000</f>
        <v>966727.78166999994</v>
      </c>
      <c r="I118" s="46">
        <f>379626434.85/1000</f>
        <v>379626.43485000002</v>
      </c>
      <c r="J118" s="46">
        <v>439861</v>
      </c>
      <c r="K118" s="21"/>
      <c r="L118" s="21"/>
      <c r="M118" s="21"/>
      <c r="N118" s="21" t="s">
        <v>134</v>
      </c>
    </row>
    <row r="119" spans="2:14" ht="15.75">
      <c r="B119" s="24">
        <v>106</v>
      </c>
      <c r="C119" s="8" t="s">
        <v>42</v>
      </c>
      <c r="D119" s="14" t="s">
        <v>50</v>
      </c>
      <c r="E119" s="14" t="s">
        <v>131</v>
      </c>
      <c r="F119" s="34">
        <v>42369</v>
      </c>
      <c r="G119" s="15">
        <v>1</v>
      </c>
      <c r="H119" s="46">
        <f>1774945974.73/1000</f>
        <v>1774945.9747300001</v>
      </c>
      <c r="I119" s="46">
        <f>543227352/1000</f>
        <v>543227.35199999996</v>
      </c>
      <c r="J119" s="46">
        <v>825877.19</v>
      </c>
      <c r="K119" s="21"/>
      <c r="L119" s="21"/>
      <c r="M119" s="21"/>
      <c r="N119" s="21" t="s">
        <v>134</v>
      </c>
    </row>
    <row r="120" spans="2:14" ht="15.75">
      <c r="B120" s="24">
        <v>107</v>
      </c>
      <c r="C120" s="8" t="s">
        <v>42</v>
      </c>
      <c r="D120" s="14" t="s">
        <v>50</v>
      </c>
      <c r="E120" s="14" t="s">
        <v>131</v>
      </c>
      <c r="F120" s="34">
        <v>42735</v>
      </c>
      <c r="G120" s="15">
        <v>1</v>
      </c>
      <c r="H120" s="46">
        <f>395941791.93/1000</f>
        <v>395941.79193000001</v>
      </c>
      <c r="I120" s="46">
        <f>110868534.17/1000</f>
        <v>110868.53417</v>
      </c>
      <c r="J120" s="46">
        <v>106904.28</v>
      </c>
      <c r="K120" s="21"/>
      <c r="L120" s="21"/>
      <c r="M120" s="21"/>
      <c r="N120" s="21" t="s">
        <v>134</v>
      </c>
    </row>
    <row r="121" spans="2:14" ht="15.75">
      <c r="B121" s="24">
        <v>108</v>
      </c>
      <c r="C121" s="8" t="s">
        <v>42</v>
      </c>
      <c r="D121" s="14" t="s">
        <v>50</v>
      </c>
      <c r="E121" s="14" t="s">
        <v>131</v>
      </c>
      <c r="F121" s="34">
        <v>42735</v>
      </c>
      <c r="G121" s="15">
        <v>1</v>
      </c>
      <c r="H121" s="46">
        <f>395941791.93/1000</f>
        <v>395941.79193000001</v>
      </c>
      <c r="I121" s="46">
        <f>110868534.17/1000</f>
        <v>110868.53417</v>
      </c>
      <c r="J121" s="46">
        <v>106904.28</v>
      </c>
      <c r="K121" s="21"/>
      <c r="L121" s="21"/>
      <c r="M121" s="21"/>
      <c r="N121" s="21" t="s">
        <v>134</v>
      </c>
    </row>
    <row r="122" spans="2:14" ht="15.75">
      <c r="B122" s="24">
        <v>109</v>
      </c>
      <c r="C122" s="8" t="s">
        <v>42</v>
      </c>
      <c r="D122" s="14" t="s">
        <v>50</v>
      </c>
      <c r="E122" s="14" t="s">
        <v>131</v>
      </c>
      <c r="F122" s="34">
        <v>42735</v>
      </c>
      <c r="G122" s="15">
        <v>1</v>
      </c>
      <c r="H122" s="46">
        <f>395941791.93/1000</f>
        <v>395941.79193000001</v>
      </c>
      <c r="I122" s="46">
        <f>110868534.17/1000</f>
        <v>110868.53417</v>
      </c>
      <c r="J122" s="46">
        <v>106904.28</v>
      </c>
      <c r="K122" s="21"/>
      <c r="L122" s="21"/>
      <c r="M122" s="21"/>
      <c r="N122" s="21" t="s">
        <v>134</v>
      </c>
    </row>
    <row r="123" spans="2:14" ht="15.75">
      <c r="B123" s="24">
        <v>110</v>
      </c>
      <c r="C123" s="8" t="s">
        <v>42</v>
      </c>
      <c r="D123" s="14" t="s">
        <v>50</v>
      </c>
      <c r="E123" s="14" t="s">
        <v>131</v>
      </c>
      <c r="F123" s="34">
        <v>42825</v>
      </c>
      <c r="G123" s="15">
        <v>1</v>
      </c>
      <c r="H123" s="46">
        <f>289341721.47/1000</f>
        <v>289341.72147000005</v>
      </c>
      <c r="I123" s="46">
        <f>81288184.09/1000</f>
        <v>81288.18409000001</v>
      </c>
      <c r="J123" s="46">
        <v>75952.2</v>
      </c>
      <c r="K123" s="21"/>
      <c r="L123" s="21"/>
      <c r="M123" s="21"/>
      <c r="N123" s="21" t="s">
        <v>134</v>
      </c>
    </row>
    <row r="124" spans="2:14" ht="15.75">
      <c r="B124" s="24">
        <v>111</v>
      </c>
      <c r="C124" s="8" t="s">
        <v>42</v>
      </c>
      <c r="D124" s="14" t="s">
        <v>50</v>
      </c>
      <c r="E124" s="14" t="s">
        <v>131</v>
      </c>
      <c r="F124" s="34">
        <v>42825</v>
      </c>
      <c r="G124" s="15">
        <v>1</v>
      </c>
      <c r="H124" s="46">
        <f>94129986.9/1000</f>
        <v>94129.986900000004</v>
      </c>
      <c r="I124" s="46">
        <f>43911065.55/1000</f>
        <v>43911.065549999999</v>
      </c>
      <c r="J124" s="46">
        <v>24709.119999999999</v>
      </c>
      <c r="K124" s="21"/>
      <c r="L124" s="21"/>
      <c r="M124" s="21"/>
      <c r="N124" s="21" t="s">
        <v>134</v>
      </c>
    </row>
    <row r="125" spans="2:14" ht="15.75">
      <c r="B125" s="24">
        <v>112</v>
      </c>
      <c r="C125" s="8" t="s">
        <v>42</v>
      </c>
      <c r="D125" s="14" t="s">
        <v>50</v>
      </c>
      <c r="E125" s="14" t="s">
        <v>131</v>
      </c>
      <c r="F125" s="34">
        <v>42825</v>
      </c>
      <c r="G125" s="15">
        <v>1</v>
      </c>
      <c r="H125" s="46">
        <f>592436826.92/1000</f>
        <v>592436.8269199999</v>
      </c>
      <c r="I125" s="46">
        <f>166440268.61/1000</f>
        <v>166440.26861000003</v>
      </c>
      <c r="J125" s="46">
        <v>155514.66699999999</v>
      </c>
      <c r="K125" s="21"/>
      <c r="L125" s="21"/>
      <c r="M125" s="21"/>
      <c r="N125" s="21" t="s">
        <v>134</v>
      </c>
    </row>
    <row r="126" spans="2:14" ht="15.75">
      <c r="B126" s="24">
        <v>113</v>
      </c>
      <c r="C126" s="8" t="s">
        <v>42</v>
      </c>
      <c r="D126" s="14" t="s">
        <v>50</v>
      </c>
      <c r="E126" s="14" t="s">
        <v>131</v>
      </c>
      <c r="F126" s="34">
        <v>44074</v>
      </c>
      <c r="G126" s="15">
        <v>1</v>
      </c>
      <c r="H126" s="46">
        <f>41016525/1000</f>
        <v>41016.525000000001</v>
      </c>
      <c r="I126" s="46"/>
      <c r="J126" s="46">
        <v>10937.74</v>
      </c>
      <c r="K126" s="21"/>
      <c r="L126" s="21"/>
      <c r="M126" s="21"/>
      <c r="N126" s="21" t="s">
        <v>134</v>
      </c>
    </row>
    <row r="127" spans="2:14" ht="15.75">
      <c r="B127" s="24">
        <v>114</v>
      </c>
      <c r="C127" s="8" t="s">
        <v>42</v>
      </c>
      <c r="D127" s="14" t="s">
        <v>50</v>
      </c>
      <c r="E127" s="14" t="s">
        <v>131</v>
      </c>
      <c r="F127" s="34">
        <v>29587</v>
      </c>
      <c r="G127" s="15">
        <v>1</v>
      </c>
      <c r="H127" s="46">
        <f>4183243.89/1000</f>
        <v>4183.2438899999997</v>
      </c>
      <c r="I127" s="46">
        <f>474534.1/1000</f>
        <v>474.53409999999997</v>
      </c>
      <c r="J127" s="46">
        <f>4183243.89/1000</f>
        <v>4183.2438899999997</v>
      </c>
      <c r="K127" s="21"/>
      <c r="L127" s="21"/>
      <c r="M127" s="21"/>
      <c r="N127" s="21" t="s">
        <v>134</v>
      </c>
    </row>
    <row r="128" spans="2:14" ht="15.75">
      <c r="B128" s="24">
        <v>115</v>
      </c>
      <c r="C128" s="8" t="s">
        <v>42</v>
      </c>
      <c r="D128" s="14" t="s">
        <v>50</v>
      </c>
      <c r="E128" s="14" t="s">
        <v>131</v>
      </c>
      <c r="F128" s="34">
        <v>32172</v>
      </c>
      <c r="G128" s="15">
        <v>1</v>
      </c>
      <c r="H128" s="46">
        <f>53380886.52/1000</f>
        <v>53380.88652</v>
      </c>
      <c r="I128" s="46">
        <f>9784777.47/1000</f>
        <v>9784.7774700000009</v>
      </c>
      <c r="J128" s="46">
        <f>53380886.52/1000</f>
        <v>53380.88652</v>
      </c>
      <c r="K128" s="21"/>
      <c r="L128" s="21"/>
      <c r="M128" s="21"/>
      <c r="N128" s="21" t="s">
        <v>134</v>
      </c>
    </row>
    <row r="129" spans="2:14" ht="15.75">
      <c r="B129" s="24">
        <v>116</v>
      </c>
      <c r="C129" s="8" t="s">
        <v>42</v>
      </c>
      <c r="D129" s="14" t="s">
        <v>50</v>
      </c>
      <c r="E129" s="14" t="s">
        <v>131</v>
      </c>
      <c r="F129" s="34">
        <v>32962</v>
      </c>
      <c r="G129" s="15">
        <v>1</v>
      </c>
      <c r="H129" s="46">
        <f>1047355.31/1000</f>
        <v>1047.3553100000001</v>
      </c>
      <c r="I129" s="46">
        <f>176686.52/1000</f>
        <v>176.68652</v>
      </c>
      <c r="J129" s="46">
        <f>1047355.31/1000</f>
        <v>1047.3553100000001</v>
      </c>
      <c r="K129" s="21"/>
      <c r="L129" s="21"/>
      <c r="M129" s="21"/>
      <c r="N129" s="21" t="s">
        <v>134</v>
      </c>
    </row>
    <row r="130" spans="2:14" ht="15.75">
      <c r="B130" s="24">
        <v>117</v>
      </c>
      <c r="C130" s="8" t="s">
        <v>42</v>
      </c>
      <c r="D130" s="14" t="s">
        <v>50</v>
      </c>
      <c r="E130" s="14" t="s">
        <v>131</v>
      </c>
      <c r="F130" s="34">
        <v>32172</v>
      </c>
      <c r="G130" s="15">
        <v>1</v>
      </c>
      <c r="H130" s="46">
        <f>710765.3/1000</f>
        <v>710.76530000000002</v>
      </c>
      <c r="I130" s="46">
        <f>130839.87/1000</f>
        <v>130.83986999999999</v>
      </c>
      <c r="J130" s="46">
        <f>710765.3/1000</f>
        <v>710.76530000000002</v>
      </c>
      <c r="K130" s="21"/>
      <c r="L130" s="21"/>
      <c r="M130" s="21"/>
      <c r="N130" s="21" t="s">
        <v>134</v>
      </c>
    </row>
    <row r="131" spans="2:14" ht="15.75">
      <c r="B131" s="24">
        <v>118</v>
      </c>
      <c r="C131" s="8" t="s">
        <v>42</v>
      </c>
      <c r="D131" s="14" t="s">
        <v>50</v>
      </c>
      <c r="E131" s="14" t="s">
        <v>131</v>
      </c>
      <c r="F131" s="34">
        <v>32507</v>
      </c>
      <c r="G131" s="15">
        <v>1</v>
      </c>
      <c r="H131" s="46">
        <f>11604008.64/1000</f>
        <v>11604.00864</v>
      </c>
      <c r="I131" s="46">
        <f>2162684.99/1000</f>
        <v>2162.6849900000002</v>
      </c>
      <c r="J131" s="46">
        <f>11604008.64/1000</f>
        <v>11604.00864</v>
      </c>
      <c r="K131" s="21"/>
      <c r="L131" s="21"/>
      <c r="M131" s="21"/>
      <c r="N131" s="21" t="s">
        <v>134</v>
      </c>
    </row>
    <row r="132" spans="2:14" ht="15.75">
      <c r="B132" s="24">
        <v>119</v>
      </c>
      <c r="C132" s="8" t="s">
        <v>42</v>
      </c>
      <c r="D132" s="14" t="s">
        <v>50</v>
      </c>
      <c r="E132" s="14" t="s">
        <v>131</v>
      </c>
      <c r="F132" s="34">
        <v>32172</v>
      </c>
      <c r="G132" s="15">
        <v>1</v>
      </c>
      <c r="H132" s="46">
        <f>10304770.53/1000</f>
        <v>10304.77053</v>
      </c>
      <c r="I132" s="46">
        <f>2201217.36/1000</f>
        <v>2201.2173599999996</v>
      </c>
      <c r="J132" s="46">
        <f>10304770.53/1000</f>
        <v>10304.77053</v>
      </c>
      <c r="K132" s="21"/>
      <c r="L132" s="21"/>
      <c r="M132" s="21"/>
      <c r="N132" s="21" t="s">
        <v>134</v>
      </c>
    </row>
    <row r="133" spans="2:14" ht="15.75">
      <c r="B133" s="24">
        <v>120</v>
      </c>
      <c r="C133" s="8" t="s">
        <v>42</v>
      </c>
      <c r="D133" s="14" t="s">
        <v>50</v>
      </c>
      <c r="E133" s="14" t="s">
        <v>131</v>
      </c>
      <c r="F133" s="34">
        <v>32172</v>
      </c>
      <c r="G133" s="15">
        <v>1</v>
      </c>
      <c r="H133" s="46">
        <f>76866967.93/1000</f>
        <v>76866.967930000013</v>
      </c>
      <c r="I133" s="46">
        <f>24355282.98/1000</f>
        <v>24355.28298</v>
      </c>
      <c r="J133" s="46">
        <f>76866967.93/1000</f>
        <v>76866.967930000013</v>
      </c>
      <c r="K133" s="21"/>
      <c r="L133" s="21"/>
      <c r="M133" s="21"/>
      <c r="N133" s="21" t="s">
        <v>134</v>
      </c>
    </row>
    <row r="134" spans="2:14" ht="15.75">
      <c r="B134" s="24">
        <v>121</v>
      </c>
      <c r="C134" s="8" t="s">
        <v>42</v>
      </c>
      <c r="D134" s="14" t="s">
        <v>50</v>
      </c>
      <c r="E134" s="14" t="s">
        <v>131</v>
      </c>
      <c r="F134" s="34">
        <v>32172</v>
      </c>
      <c r="G134" s="15">
        <v>1</v>
      </c>
      <c r="H134" s="46">
        <f>2175687.16/1000</f>
        <v>2175.6871599999999</v>
      </c>
      <c r="I134" s="46">
        <f>24666.16/1000</f>
        <v>24.666160000000001</v>
      </c>
      <c r="J134" s="46">
        <f>2175687.16/1000</f>
        <v>2175.6871599999999</v>
      </c>
      <c r="K134" s="21"/>
      <c r="L134" s="21"/>
      <c r="M134" s="21"/>
      <c r="N134" s="21" t="s">
        <v>134</v>
      </c>
    </row>
    <row r="135" spans="2:14" ht="15.75">
      <c r="B135" s="24">
        <v>122</v>
      </c>
      <c r="C135" s="8" t="s">
        <v>42</v>
      </c>
      <c r="D135" s="14" t="s">
        <v>50</v>
      </c>
      <c r="E135" s="14" t="s">
        <v>131</v>
      </c>
      <c r="F135" s="34">
        <v>32172</v>
      </c>
      <c r="G135" s="15">
        <v>1</v>
      </c>
      <c r="H135" s="46">
        <f>168935.96/1000</f>
        <v>168.93595999999999</v>
      </c>
      <c r="I135" s="46">
        <f>9018.19/1000</f>
        <v>9.0181900000000006</v>
      </c>
      <c r="J135" s="46">
        <f>168935.96/1000</f>
        <v>168.93595999999999</v>
      </c>
      <c r="K135" s="21"/>
      <c r="L135" s="21"/>
      <c r="M135" s="21"/>
      <c r="N135" s="21" t="s">
        <v>134</v>
      </c>
    </row>
    <row r="136" spans="2:14" ht="15.75">
      <c r="B136" s="24">
        <v>123</v>
      </c>
      <c r="C136" s="8" t="s">
        <v>42</v>
      </c>
      <c r="D136" s="14" t="s">
        <v>50</v>
      </c>
      <c r="E136" s="14" t="s">
        <v>131</v>
      </c>
      <c r="F136" s="34">
        <v>29250</v>
      </c>
      <c r="G136" s="15">
        <v>1</v>
      </c>
      <c r="H136" s="46">
        <f>96352927.6/1000</f>
        <v>96352.927599999995</v>
      </c>
      <c r="I136" s="46">
        <f>22762601.85/1000</f>
        <v>22762.601850000003</v>
      </c>
      <c r="J136" s="46">
        <f>96352927.6/1000</f>
        <v>96352.927599999995</v>
      </c>
      <c r="K136" s="21"/>
      <c r="L136" s="21"/>
      <c r="M136" s="21"/>
      <c r="N136" s="21" t="s">
        <v>134</v>
      </c>
    </row>
    <row r="137" spans="2:14" ht="15.75">
      <c r="B137" s="24">
        <v>124</v>
      </c>
      <c r="C137" s="8" t="s">
        <v>42</v>
      </c>
      <c r="D137" s="14" t="s">
        <v>50</v>
      </c>
      <c r="E137" s="14" t="s">
        <v>131</v>
      </c>
      <c r="F137" s="34">
        <v>29250</v>
      </c>
      <c r="G137" s="15">
        <v>1</v>
      </c>
      <c r="H137" s="46">
        <f>192077223.32/1000</f>
        <v>192077.22331999999</v>
      </c>
      <c r="I137" s="46">
        <f>46925885.63/1000</f>
        <v>46925.885630000004</v>
      </c>
      <c r="J137" s="46">
        <f>192077223.32/1000</f>
        <v>192077.22331999999</v>
      </c>
      <c r="K137" s="21"/>
      <c r="L137" s="21"/>
      <c r="M137" s="21"/>
      <c r="N137" s="21" t="s">
        <v>134</v>
      </c>
    </row>
    <row r="138" spans="2:14" ht="15.75">
      <c r="B138" s="24">
        <v>125</v>
      </c>
      <c r="C138" s="8" t="s">
        <v>42</v>
      </c>
      <c r="D138" s="14" t="s">
        <v>50</v>
      </c>
      <c r="E138" s="14" t="s">
        <v>131</v>
      </c>
      <c r="F138" s="34">
        <v>32172</v>
      </c>
      <c r="G138" s="15">
        <v>1</v>
      </c>
      <c r="H138" s="46">
        <f>44452769.52/1000</f>
        <v>44452.769520000002</v>
      </c>
      <c r="I138" s="46">
        <f>13305786.89/1000</f>
        <v>13305.786890000001</v>
      </c>
      <c r="J138" s="46">
        <f>44452769.52/1000</f>
        <v>44452.769520000002</v>
      </c>
      <c r="K138" s="21"/>
      <c r="L138" s="21"/>
      <c r="M138" s="21"/>
      <c r="N138" s="21" t="s">
        <v>134</v>
      </c>
    </row>
    <row r="139" spans="2:14" ht="15.75">
      <c r="B139" s="24">
        <v>126</v>
      </c>
      <c r="C139" s="8" t="s">
        <v>42</v>
      </c>
      <c r="D139" s="14" t="s">
        <v>50</v>
      </c>
      <c r="E139" s="14" t="s">
        <v>131</v>
      </c>
      <c r="F139" s="34">
        <v>32172</v>
      </c>
      <c r="G139" s="15">
        <v>1</v>
      </c>
      <c r="H139" s="46">
        <f>3697602.66/1000</f>
        <v>3697.60266</v>
      </c>
      <c r="I139" s="46">
        <f>137820.32/1000</f>
        <v>137.82032000000001</v>
      </c>
      <c r="J139" s="46">
        <f>3697602.66/1000</f>
        <v>3697.60266</v>
      </c>
      <c r="K139" s="21"/>
      <c r="L139" s="21"/>
      <c r="M139" s="21"/>
      <c r="N139" s="21" t="s">
        <v>134</v>
      </c>
    </row>
    <row r="140" spans="2:14" ht="15.75">
      <c r="B140" s="24">
        <v>127</v>
      </c>
      <c r="C140" s="8" t="s">
        <v>42</v>
      </c>
      <c r="D140" s="14" t="s">
        <v>50</v>
      </c>
      <c r="E140" s="14" t="s">
        <v>131</v>
      </c>
      <c r="F140" s="34">
        <v>31501</v>
      </c>
      <c r="G140" s="15">
        <v>1</v>
      </c>
      <c r="H140" s="46">
        <f>132708913.58/1000</f>
        <v>132708.91357999999</v>
      </c>
      <c r="I140" s="46">
        <f>35289979.92/1000</f>
        <v>35289.979920000005</v>
      </c>
      <c r="J140" s="46">
        <f>132708913.58/1000</f>
        <v>132708.91357999999</v>
      </c>
      <c r="K140" s="21"/>
      <c r="L140" s="21"/>
      <c r="M140" s="21"/>
      <c r="N140" s="21" t="s">
        <v>134</v>
      </c>
    </row>
    <row r="141" spans="2:14" ht="15.75">
      <c r="B141" s="24">
        <v>128</v>
      </c>
      <c r="C141" s="8" t="s">
        <v>42</v>
      </c>
      <c r="D141" s="14" t="s">
        <v>50</v>
      </c>
      <c r="E141" s="14" t="s">
        <v>131</v>
      </c>
      <c r="F141" s="34">
        <v>40359</v>
      </c>
      <c r="G141" s="15">
        <v>1</v>
      </c>
      <c r="H141" s="46">
        <f>877502988.76/1000</f>
        <v>877502.98875999998</v>
      </c>
      <c r="I141" s="46">
        <f>371462933.56/1000</f>
        <v>371462.93355999998</v>
      </c>
      <c r="J141" s="46">
        <v>495789.18</v>
      </c>
      <c r="K141" s="21"/>
      <c r="L141" s="21"/>
      <c r="M141" s="21"/>
      <c r="N141" s="21" t="s">
        <v>134</v>
      </c>
    </row>
    <row r="142" spans="2:14" ht="15.75">
      <c r="B142" s="24">
        <v>129</v>
      </c>
      <c r="C142" s="8" t="s">
        <v>42</v>
      </c>
      <c r="D142" s="14" t="s">
        <v>50</v>
      </c>
      <c r="E142" s="14" t="s">
        <v>131</v>
      </c>
      <c r="F142" s="34">
        <v>40359</v>
      </c>
      <c r="G142" s="15">
        <v>1</v>
      </c>
      <c r="H142" s="46">
        <f>106417552.98/1000</f>
        <v>106417.55298000001</v>
      </c>
      <c r="I142" s="46">
        <f>45048480.61/1000</f>
        <v>45048.480609999999</v>
      </c>
      <c r="J142" s="46">
        <v>60125.91</v>
      </c>
      <c r="K142" s="21"/>
      <c r="L142" s="21"/>
      <c r="M142" s="21"/>
      <c r="N142" s="21" t="s">
        <v>134</v>
      </c>
    </row>
    <row r="143" spans="2:14" ht="15.75">
      <c r="B143" s="24">
        <v>130</v>
      </c>
      <c r="C143" s="8" t="s">
        <v>42</v>
      </c>
      <c r="D143" s="14" t="s">
        <v>50</v>
      </c>
      <c r="E143" s="14" t="s">
        <v>131</v>
      </c>
      <c r="F143" s="34">
        <v>40542</v>
      </c>
      <c r="G143" s="15">
        <v>1</v>
      </c>
      <c r="H143" s="46">
        <f>575851295.39/1000</f>
        <v>575851.29538999998</v>
      </c>
      <c r="I143" s="46">
        <f>242912951.7/1000</f>
        <v>242912.95169999998</v>
      </c>
      <c r="J143" s="46">
        <v>305201.18</v>
      </c>
      <c r="K143" s="21"/>
      <c r="L143" s="21"/>
      <c r="M143" s="21"/>
      <c r="N143" s="21" t="s">
        <v>134</v>
      </c>
    </row>
    <row r="144" spans="2:14" ht="15.75">
      <c r="B144" s="24">
        <v>131</v>
      </c>
      <c r="C144" s="8" t="s">
        <v>42</v>
      </c>
      <c r="D144" s="14" t="s">
        <v>50</v>
      </c>
      <c r="E144" s="14" t="s">
        <v>131</v>
      </c>
      <c r="F144" s="34">
        <v>40542</v>
      </c>
      <c r="G144" s="15">
        <v>1</v>
      </c>
      <c r="H144" s="46">
        <f>168648149.53/1000</f>
        <v>168648.14953</v>
      </c>
      <c r="I144" s="46">
        <f>71141317.37/1000</f>
        <v>71141.317370000004</v>
      </c>
      <c r="J144" s="46">
        <v>89383.51</v>
      </c>
      <c r="K144" s="21"/>
      <c r="L144" s="21"/>
      <c r="M144" s="21"/>
      <c r="N144" s="21" t="s">
        <v>134</v>
      </c>
    </row>
    <row r="145" spans="2:14" ht="15.75">
      <c r="B145" s="24">
        <v>132</v>
      </c>
      <c r="C145" s="8" t="s">
        <v>42</v>
      </c>
      <c r="D145" s="14" t="s">
        <v>50</v>
      </c>
      <c r="E145" s="14" t="s">
        <v>131</v>
      </c>
      <c r="F145" s="34">
        <v>40542</v>
      </c>
      <c r="G145" s="15">
        <v>1</v>
      </c>
      <c r="H145" s="46">
        <f>370145419.99/1000</f>
        <v>370145.41999000002</v>
      </c>
      <c r="I145" s="46">
        <f>156139470.85/1000</f>
        <v>156139.47084999998</v>
      </c>
      <c r="J145" s="46">
        <v>196177.07</v>
      </c>
      <c r="K145" s="21"/>
      <c r="L145" s="21"/>
      <c r="M145" s="21"/>
      <c r="N145" s="21" t="s">
        <v>134</v>
      </c>
    </row>
    <row r="146" spans="2:14" ht="15.75">
      <c r="B146" s="24">
        <v>133</v>
      </c>
      <c r="C146" s="8" t="s">
        <v>42</v>
      </c>
      <c r="D146" s="14" t="s">
        <v>50</v>
      </c>
      <c r="E146" s="14" t="s">
        <v>131</v>
      </c>
      <c r="F146" s="34">
        <v>40542</v>
      </c>
      <c r="G146" s="15">
        <v>1</v>
      </c>
      <c r="H146" s="46">
        <f>167477829.58/1000</f>
        <v>167477.82958000002</v>
      </c>
      <c r="I146" s="46">
        <f>70647638.12/1000</f>
        <v>70647.638120000003</v>
      </c>
      <c r="J146" s="46">
        <v>88763.24</v>
      </c>
      <c r="K146" s="21"/>
      <c r="L146" s="21"/>
      <c r="M146" s="21"/>
      <c r="N146" s="21" t="s">
        <v>134</v>
      </c>
    </row>
    <row r="147" spans="2:14" ht="15.75">
      <c r="B147" s="24">
        <v>134</v>
      </c>
      <c r="C147" s="8" t="s">
        <v>42</v>
      </c>
      <c r="D147" s="14" t="s">
        <v>50</v>
      </c>
      <c r="E147" s="14" t="s">
        <v>131</v>
      </c>
      <c r="F147" s="34">
        <v>40633</v>
      </c>
      <c r="G147" s="15">
        <v>1</v>
      </c>
      <c r="H147" s="46">
        <f>1628634381.76/1000</f>
        <v>1628634.38176</v>
      </c>
      <c r="I147" s="46">
        <f>784815857.02/1000</f>
        <v>784815.85702</v>
      </c>
      <c r="J147" s="46">
        <v>659596.92000000004</v>
      </c>
      <c r="K147" s="21"/>
      <c r="L147" s="21"/>
      <c r="M147" s="21"/>
      <c r="N147" s="21" t="s">
        <v>134</v>
      </c>
    </row>
    <row r="148" spans="2:14" s="68" customFormat="1" ht="18" customHeight="1">
      <c r="B148" s="24">
        <v>134</v>
      </c>
      <c r="C148" s="8" t="s">
        <v>42</v>
      </c>
      <c r="D148" s="14" t="s">
        <v>135</v>
      </c>
      <c r="E148" s="14" t="s">
        <v>136</v>
      </c>
      <c r="F148" s="34">
        <v>32264</v>
      </c>
      <c r="G148" s="15">
        <v>17</v>
      </c>
      <c r="H148" s="46">
        <v>1771552</v>
      </c>
      <c r="I148" s="46">
        <v>343216</v>
      </c>
      <c r="J148" s="46">
        <v>8628</v>
      </c>
      <c r="K148" s="8"/>
      <c r="L148" s="14"/>
      <c r="M148" s="69"/>
      <c r="N148" s="70" t="s">
        <v>137</v>
      </c>
    </row>
    <row r="149" spans="2:14" s="12" customFormat="1" ht="15.75" customHeight="1">
      <c r="B149" s="85" t="s">
        <v>18</v>
      </c>
      <c r="C149" s="85"/>
      <c r="D149" s="85"/>
      <c r="E149" s="85"/>
      <c r="F149" s="85"/>
      <c r="G149" s="19"/>
      <c r="H149" s="25">
        <f>SUM(H14:H148)</f>
        <v>57209176.321669996</v>
      </c>
      <c r="I149" s="25">
        <f t="shared" ref="I149:J149" si="0">SUM(I14:I148)</f>
        <v>16935854.831199996</v>
      </c>
      <c r="J149" s="25">
        <f t="shared" si="0"/>
        <v>13714217.317894617</v>
      </c>
      <c r="K149" s="67"/>
      <c r="L149" s="67"/>
      <c r="M149" s="67"/>
      <c r="N149" s="67"/>
    </row>
    <row r="150" spans="2:14" ht="15" customHeight="1">
      <c r="B150" s="82" t="s">
        <v>142</v>
      </c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4"/>
      <c r="N150" s="7"/>
    </row>
    <row r="151" spans="2:14" s="12" customFormat="1" ht="18" customHeight="1">
      <c r="B151" s="24">
        <v>1</v>
      </c>
      <c r="C151" s="8" t="s">
        <v>30</v>
      </c>
      <c r="D151" s="13" t="s">
        <v>31</v>
      </c>
      <c r="E151" s="13" t="s">
        <v>32</v>
      </c>
      <c r="F151" s="14">
        <v>2019</v>
      </c>
      <c r="G151" s="15">
        <v>1</v>
      </c>
      <c r="H151" s="46">
        <v>175432</v>
      </c>
      <c r="I151" s="46">
        <v>3439</v>
      </c>
      <c r="J151" s="46">
        <v>1316</v>
      </c>
      <c r="K151" s="20"/>
      <c r="L151" s="71"/>
      <c r="M151" s="17"/>
      <c r="N151" s="13" t="s">
        <v>33</v>
      </c>
    </row>
    <row r="152" spans="2:14" s="12" customFormat="1" ht="18" customHeight="1">
      <c r="B152" s="24">
        <v>2</v>
      </c>
      <c r="C152" s="13" t="s">
        <v>34</v>
      </c>
      <c r="D152" s="13" t="s">
        <v>35</v>
      </c>
      <c r="E152" s="13" t="s">
        <v>36</v>
      </c>
      <c r="F152" s="14">
        <v>2007</v>
      </c>
      <c r="G152" s="15">
        <v>1</v>
      </c>
      <c r="H152" s="46">
        <v>6319156</v>
      </c>
      <c r="I152" s="46">
        <v>2783392</v>
      </c>
      <c r="J152" s="46">
        <v>47394</v>
      </c>
      <c r="K152" s="20"/>
      <c r="L152" s="71"/>
      <c r="M152" s="17"/>
      <c r="N152" s="41" t="s">
        <v>33</v>
      </c>
    </row>
    <row r="153" spans="2:14" s="12" customFormat="1" ht="18" customHeight="1">
      <c r="B153" s="24">
        <v>3</v>
      </c>
      <c r="C153" s="31" t="s">
        <v>37</v>
      </c>
      <c r="D153" s="13" t="s">
        <v>35</v>
      </c>
      <c r="E153" s="13" t="s">
        <v>38</v>
      </c>
      <c r="F153" s="14">
        <v>2011</v>
      </c>
      <c r="G153" s="15">
        <v>1</v>
      </c>
      <c r="H153" s="46">
        <v>1268016</v>
      </c>
      <c r="I153" s="46">
        <v>505494</v>
      </c>
      <c r="J153" s="46">
        <v>9510</v>
      </c>
      <c r="K153" s="20"/>
      <c r="L153" s="71"/>
      <c r="M153" s="32"/>
      <c r="N153" s="41" t="s">
        <v>33</v>
      </c>
    </row>
    <row r="154" spans="2:14" s="12" customFormat="1" ht="18" customHeight="1">
      <c r="B154" s="24">
        <v>4</v>
      </c>
      <c r="C154" s="13" t="s">
        <v>39</v>
      </c>
      <c r="D154" s="13" t="s">
        <v>40</v>
      </c>
      <c r="E154" s="13" t="s">
        <v>41</v>
      </c>
      <c r="F154" s="14">
        <v>1983</v>
      </c>
      <c r="G154" s="15">
        <v>1</v>
      </c>
      <c r="H154" s="46">
        <v>555408</v>
      </c>
      <c r="I154" s="46">
        <v>184277</v>
      </c>
      <c r="J154" s="46">
        <v>3240</v>
      </c>
      <c r="K154" s="20"/>
      <c r="L154" s="71"/>
      <c r="M154" s="32"/>
      <c r="N154" s="41" t="s">
        <v>33</v>
      </c>
    </row>
    <row r="155" spans="2:14" s="12" customFormat="1" ht="18" customHeight="1">
      <c r="B155" s="24">
        <v>5</v>
      </c>
      <c r="C155" s="8" t="s">
        <v>42</v>
      </c>
      <c r="D155" s="14" t="s">
        <v>43</v>
      </c>
      <c r="E155" s="33" t="s">
        <v>44</v>
      </c>
      <c r="F155" s="34">
        <v>37225</v>
      </c>
      <c r="G155" s="15">
        <v>7</v>
      </c>
      <c r="H155" s="47">
        <v>840891</v>
      </c>
      <c r="I155" s="47">
        <v>140071</v>
      </c>
      <c r="J155" s="47">
        <v>8572</v>
      </c>
      <c r="K155" s="20"/>
      <c r="L155" s="71"/>
      <c r="M155" s="32"/>
      <c r="N155" s="49" t="s">
        <v>45</v>
      </c>
    </row>
    <row r="156" spans="2:14" s="12" customFormat="1" ht="18" customHeight="1">
      <c r="B156" s="24">
        <v>6</v>
      </c>
      <c r="C156" s="14" t="s">
        <v>46</v>
      </c>
      <c r="D156" s="14" t="s">
        <v>47</v>
      </c>
      <c r="E156" s="33" t="s">
        <v>48</v>
      </c>
      <c r="F156" s="34">
        <v>38290</v>
      </c>
      <c r="G156" s="15">
        <v>2</v>
      </c>
      <c r="H156" s="47">
        <v>1086794</v>
      </c>
      <c r="I156" s="47">
        <v>265313</v>
      </c>
      <c r="J156" s="47">
        <v>8151</v>
      </c>
      <c r="K156" s="20"/>
      <c r="L156" s="71"/>
      <c r="M156" s="32"/>
      <c r="N156" s="49" t="s">
        <v>45</v>
      </c>
    </row>
    <row r="157" spans="2:14" s="12" customFormat="1" ht="18" customHeight="1">
      <c r="B157" s="24">
        <v>7</v>
      </c>
      <c r="C157" s="14" t="s">
        <v>49</v>
      </c>
      <c r="D157" s="14" t="s">
        <v>50</v>
      </c>
      <c r="E157" s="33" t="s">
        <v>51</v>
      </c>
      <c r="F157" s="34">
        <v>38290</v>
      </c>
      <c r="G157" s="15">
        <v>1</v>
      </c>
      <c r="H157" s="47">
        <v>7873</v>
      </c>
      <c r="I157" s="47">
        <v>1360</v>
      </c>
      <c r="J157" s="47"/>
      <c r="K157" s="20"/>
      <c r="L157" s="71"/>
      <c r="M157" s="32"/>
      <c r="N157" s="49" t="s">
        <v>45</v>
      </c>
    </row>
    <row r="158" spans="2:14" s="12" customFormat="1" ht="30" customHeight="1">
      <c r="B158" s="24">
        <v>8</v>
      </c>
      <c r="C158" s="14" t="s">
        <v>52</v>
      </c>
      <c r="D158" s="14" t="s">
        <v>53</v>
      </c>
      <c r="E158" s="33" t="s">
        <v>54</v>
      </c>
      <c r="F158" s="34">
        <v>38290</v>
      </c>
      <c r="G158" s="15">
        <v>18</v>
      </c>
      <c r="H158" s="47">
        <v>2237896</v>
      </c>
      <c r="I158" s="47">
        <v>387284</v>
      </c>
      <c r="J158" s="47">
        <v>9377</v>
      </c>
      <c r="K158" s="20"/>
      <c r="L158" s="71"/>
      <c r="M158" s="32"/>
      <c r="N158" s="49" t="s">
        <v>45</v>
      </c>
    </row>
    <row r="159" spans="2:14" s="12" customFormat="1" ht="18" customHeight="1">
      <c r="B159" s="24">
        <v>9</v>
      </c>
      <c r="C159" s="8" t="s">
        <v>30</v>
      </c>
      <c r="D159" s="14" t="s">
        <v>55</v>
      </c>
      <c r="E159" s="33" t="s">
        <v>56</v>
      </c>
      <c r="F159" s="34">
        <v>37573</v>
      </c>
      <c r="G159" s="15">
        <v>1</v>
      </c>
      <c r="H159" s="47">
        <v>663</v>
      </c>
      <c r="I159" s="47">
        <v>95</v>
      </c>
      <c r="J159" s="47"/>
      <c r="K159" s="20"/>
      <c r="L159" s="71"/>
      <c r="M159" s="32"/>
      <c r="N159" s="49" t="s">
        <v>45</v>
      </c>
    </row>
    <row r="160" spans="2:14" s="12" customFormat="1" ht="18" customHeight="1">
      <c r="B160" s="24">
        <v>10</v>
      </c>
      <c r="C160" s="8" t="s">
        <v>30</v>
      </c>
      <c r="D160" s="14" t="s">
        <v>57</v>
      </c>
      <c r="E160" s="33" t="s">
        <v>58</v>
      </c>
      <c r="F160" s="34">
        <v>37315</v>
      </c>
      <c r="G160" s="15">
        <v>1</v>
      </c>
      <c r="H160" s="47">
        <v>32343</v>
      </c>
      <c r="I160" s="47">
        <v>5174</v>
      </c>
      <c r="J160" s="47">
        <v>243</v>
      </c>
      <c r="K160" s="20"/>
      <c r="L160" s="71"/>
      <c r="M160" s="32"/>
      <c r="N160" s="49" t="s">
        <v>45</v>
      </c>
    </row>
    <row r="161" spans="2:14" s="12" customFormat="1" ht="18" customHeight="1">
      <c r="B161" s="24">
        <v>11</v>
      </c>
      <c r="C161" s="14" t="s">
        <v>59</v>
      </c>
      <c r="D161" s="14" t="s">
        <v>60</v>
      </c>
      <c r="E161" s="33" t="s">
        <v>61</v>
      </c>
      <c r="F161" s="34">
        <v>38290</v>
      </c>
      <c r="G161" s="15">
        <v>1</v>
      </c>
      <c r="H161" s="47">
        <v>1050294</v>
      </c>
      <c r="I161" s="47">
        <v>71571</v>
      </c>
      <c r="J161" s="71">
        <v>7877.2049999999999</v>
      </c>
      <c r="K161" s="20"/>
      <c r="L161" s="71"/>
      <c r="M161" s="32"/>
      <c r="N161" s="49" t="s">
        <v>45</v>
      </c>
    </row>
    <row r="162" spans="2:14" s="12" customFormat="1" ht="18" customHeight="1">
      <c r="B162" s="24">
        <v>12</v>
      </c>
      <c r="C162" s="14" t="s">
        <v>62</v>
      </c>
      <c r="D162" s="14" t="s">
        <v>63</v>
      </c>
      <c r="E162" s="33" t="s">
        <v>64</v>
      </c>
      <c r="F162" s="34">
        <v>44560</v>
      </c>
      <c r="G162" s="15">
        <v>1</v>
      </c>
      <c r="H162" s="47">
        <v>668082</v>
      </c>
      <c r="I162" s="47"/>
      <c r="J162" s="71">
        <v>5010.6149999999998</v>
      </c>
      <c r="K162" s="20"/>
      <c r="L162" s="71"/>
      <c r="M162" s="32"/>
      <c r="N162" s="49" t="s">
        <v>45</v>
      </c>
    </row>
    <row r="163" spans="2:14" ht="15.75">
      <c r="B163" s="24">
        <v>13</v>
      </c>
      <c r="C163" s="14" t="s">
        <v>65</v>
      </c>
      <c r="D163" s="14" t="s">
        <v>66</v>
      </c>
      <c r="E163" s="14" t="s">
        <v>67</v>
      </c>
      <c r="F163" s="34">
        <v>37953</v>
      </c>
      <c r="G163" s="15">
        <v>1</v>
      </c>
      <c r="H163" s="48">
        <v>8020.5839699999997</v>
      </c>
      <c r="I163" s="48">
        <v>3647.80366</v>
      </c>
      <c r="J163" s="48">
        <v>7485.88</v>
      </c>
      <c r="K163" s="20"/>
      <c r="L163" s="71"/>
      <c r="M163" s="35"/>
      <c r="N163" s="41" t="s">
        <v>68</v>
      </c>
    </row>
    <row r="164" spans="2:14" ht="15.75">
      <c r="B164" s="24">
        <v>14</v>
      </c>
      <c r="C164" s="14" t="s">
        <v>69</v>
      </c>
      <c r="D164" s="14" t="s">
        <v>66</v>
      </c>
      <c r="E164" s="14" t="s">
        <v>67</v>
      </c>
      <c r="F164" s="34">
        <v>37953</v>
      </c>
      <c r="G164" s="15">
        <v>1</v>
      </c>
      <c r="H164" s="48">
        <v>3025.4504999999999</v>
      </c>
      <c r="I164" s="48">
        <v>1375.99153</v>
      </c>
      <c r="J164" s="48">
        <v>2823.75</v>
      </c>
      <c r="K164" s="20"/>
      <c r="L164" s="71"/>
      <c r="M164" s="35"/>
      <c r="N164" s="41" t="s">
        <v>68</v>
      </c>
    </row>
    <row r="165" spans="2:14" ht="15.75">
      <c r="B165" s="24">
        <v>15</v>
      </c>
      <c r="C165" s="8" t="s">
        <v>42</v>
      </c>
      <c r="D165" s="14" t="s">
        <v>66</v>
      </c>
      <c r="E165" s="14" t="s">
        <v>67</v>
      </c>
      <c r="F165" s="34">
        <v>37953</v>
      </c>
      <c r="G165" s="15">
        <v>1</v>
      </c>
      <c r="H165" s="48">
        <v>2819.3766099999998</v>
      </c>
      <c r="I165" s="48">
        <v>1282.26803</v>
      </c>
      <c r="J165" s="48">
        <v>2631.42</v>
      </c>
      <c r="K165" s="20"/>
      <c r="L165" s="71"/>
      <c r="M165" s="35"/>
      <c r="N165" s="41" t="s">
        <v>68</v>
      </c>
    </row>
    <row r="166" spans="2:14" ht="15.75">
      <c r="B166" s="24">
        <v>16</v>
      </c>
      <c r="C166" s="8" t="s">
        <v>42</v>
      </c>
      <c r="D166" s="14" t="s">
        <v>66</v>
      </c>
      <c r="E166" s="14" t="s">
        <v>67</v>
      </c>
      <c r="F166" s="34">
        <v>37953</v>
      </c>
      <c r="G166" s="15">
        <v>1</v>
      </c>
      <c r="H166" s="48">
        <v>3792.13069</v>
      </c>
      <c r="I166" s="48">
        <v>1724.68111</v>
      </c>
      <c r="J166" s="48">
        <v>3539.32</v>
      </c>
      <c r="K166" s="20"/>
      <c r="L166" s="71"/>
      <c r="M166" s="35"/>
      <c r="N166" s="41" t="s">
        <v>68</v>
      </c>
    </row>
    <row r="167" spans="2:14" ht="15.75">
      <c r="B167" s="24">
        <v>17</v>
      </c>
      <c r="C167" s="8" t="s">
        <v>42</v>
      </c>
      <c r="D167" s="14" t="s">
        <v>66</v>
      </c>
      <c r="E167" s="14" t="s">
        <v>67</v>
      </c>
      <c r="F167" s="34">
        <v>37953</v>
      </c>
      <c r="G167" s="15">
        <v>1</v>
      </c>
      <c r="H167" s="48">
        <v>8805.6867199999997</v>
      </c>
      <c r="I167" s="48">
        <v>3994.6894699999998</v>
      </c>
      <c r="J167" s="48">
        <v>8218.64</v>
      </c>
      <c r="K167" s="20"/>
      <c r="L167" s="71"/>
      <c r="M167" s="35"/>
      <c r="N167" s="41" t="s">
        <v>68</v>
      </c>
    </row>
    <row r="168" spans="2:14" ht="15.75">
      <c r="B168" s="24">
        <v>18</v>
      </c>
      <c r="C168" s="8" t="s">
        <v>59</v>
      </c>
      <c r="D168" s="14" t="s">
        <v>66</v>
      </c>
      <c r="E168" s="14" t="s">
        <v>67</v>
      </c>
      <c r="F168" s="34">
        <v>37953</v>
      </c>
      <c r="G168" s="15">
        <v>1</v>
      </c>
      <c r="H168" s="48">
        <v>24930.383969999999</v>
      </c>
      <c r="I168" s="48">
        <v>11369.15626</v>
      </c>
      <c r="J168" s="48">
        <v>23268.36</v>
      </c>
      <c r="K168" s="20"/>
      <c r="L168" s="71"/>
      <c r="M168" s="35"/>
      <c r="N168" s="41" t="s">
        <v>68</v>
      </c>
    </row>
    <row r="169" spans="2:14" ht="15.75">
      <c r="B169" s="24">
        <v>19</v>
      </c>
      <c r="C169" s="8" t="s">
        <v>70</v>
      </c>
      <c r="D169" s="14" t="s">
        <v>66</v>
      </c>
      <c r="E169" s="14" t="s">
        <v>67</v>
      </c>
      <c r="F169" s="34">
        <v>37953</v>
      </c>
      <c r="G169" s="15">
        <v>1</v>
      </c>
      <c r="H169" s="48">
        <v>2544.4800500000001</v>
      </c>
      <c r="I169" s="48">
        <v>1157.24191</v>
      </c>
      <c r="J169" s="48">
        <v>2374.85</v>
      </c>
      <c r="K169" s="20"/>
      <c r="L169" s="71"/>
      <c r="M169" s="35"/>
      <c r="N169" s="41" t="s">
        <v>68</v>
      </c>
    </row>
    <row r="170" spans="2:14" ht="15.75">
      <c r="B170" s="24">
        <v>20</v>
      </c>
      <c r="C170" s="8" t="s">
        <v>71</v>
      </c>
      <c r="D170" s="14" t="s">
        <v>66</v>
      </c>
      <c r="E170" s="14" t="s">
        <v>67</v>
      </c>
      <c r="F170" s="34">
        <v>37953</v>
      </c>
      <c r="G170" s="15">
        <v>1</v>
      </c>
      <c r="H170" s="48">
        <v>3203.116</v>
      </c>
      <c r="I170" s="48">
        <v>1450.7593099999999</v>
      </c>
      <c r="J170" s="48">
        <v>2989.57</v>
      </c>
      <c r="K170" s="20"/>
      <c r="L170" s="71"/>
      <c r="M170" s="35"/>
      <c r="N170" s="41" t="s">
        <v>68</v>
      </c>
    </row>
    <row r="171" spans="2:14" ht="15.75">
      <c r="B171" s="24">
        <v>21</v>
      </c>
      <c r="C171" s="8" t="s">
        <v>72</v>
      </c>
      <c r="D171" s="14" t="s">
        <v>66</v>
      </c>
      <c r="E171" s="14" t="s">
        <v>67</v>
      </c>
      <c r="F171" s="34">
        <v>37953</v>
      </c>
      <c r="G171" s="15">
        <v>1</v>
      </c>
      <c r="H171" s="48">
        <v>14671.20441</v>
      </c>
      <c r="I171" s="48">
        <v>6644.8975899999996</v>
      </c>
      <c r="J171" s="48">
        <v>13693.12</v>
      </c>
      <c r="K171" s="20"/>
      <c r="L171" s="71"/>
      <c r="M171" s="35"/>
      <c r="N171" s="41" t="s">
        <v>68</v>
      </c>
    </row>
    <row r="172" spans="2:14" ht="15.75">
      <c r="B172" s="24">
        <v>22</v>
      </c>
      <c r="C172" s="8" t="s">
        <v>42</v>
      </c>
      <c r="D172" s="14" t="s">
        <v>66</v>
      </c>
      <c r="E172" s="14" t="s">
        <v>67</v>
      </c>
      <c r="F172" s="34">
        <v>37948</v>
      </c>
      <c r="G172" s="15">
        <v>1</v>
      </c>
      <c r="H172" s="48">
        <v>2840.1970500000002</v>
      </c>
      <c r="I172" s="48">
        <v>1233.2264600000001</v>
      </c>
      <c r="J172" s="48">
        <v>2764.46</v>
      </c>
      <c r="K172" s="20"/>
      <c r="L172" s="71"/>
      <c r="M172" s="35"/>
      <c r="N172" s="41" t="s">
        <v>68</v>
      </c>
    </row>
    <row r="173" spans="2:14" ht="15.75">
      <c r="B173" s="24">
        <v>23</v>
      </c>
      <c r="C173" s="8" t="s">
        <v>42</v>
      </c>
      <c r="D173" s="14" t="s">
        <v>66</v>
      </c>
      <c r="E173" s="14" t="s">
        <v>67</v>
      </c>
      <c r="F173" s="34">
        <v>37948</v>
      </c>
      <c r="G173" s="15">
        <v>1</v>
      </c>
      <c r="H173" s="48">
        <v>3933.8967699999998</v>
      </c>
      <c r="I173" s="48">
        <v>1712.0251499999999</v>
      </c>
      <c r="J173" s="48">
        <v>3933.9</v>
      </c>
      <c r="K173" s="20"/>
      <c r="L173" s="71"/>
      <c r="M173" s="35"/>
      <c r="N173" s="41" t="s">
        <v>68</v>
      </c>
    </row>
    <row r="174" spans="2:14" ht="15.75">
      <c r="B174" s="24">
        <v>24</v>
      </c>
      <c r="C174" s="8" t="s">
        <v>42</v>
      </c>
      <c r="D174" s="14" t="s">
        <v>66</v>
      </c>
      <c r="E174" s="14"/>
      <c r="F174" s="34">
        <v>41619</v>
      </c>
      <c r="G174" s="15">
        <v>1</v>
      </c>
      <c r="H174" s="48">
        <v>11904.04221</v>
      </c>
      <c r="I174" s="48">
        <v>3970.5863300000001</v>
      </c>
      <c r="J174" s="48">
        <v>4583.05</v>
      </c>
      <c r="K174" s="20"/>
      <c r="L174" s="71"/>
      <c r="M174" s="35"/>
      <c r="N174" s="41" t="s">
        <v>68</v>
      </c>
    </row>
    <row r="175" spans="2:14" ht="15.75">
      <c r="B175" s="24">
        <v>25</v>
      </c>
      <c r="C175" s="8" t="s">
        <v>42</v>
      </c>
      <c r="D175" s="14" t="s">
        <v>73</v>
      </c>
      <c r="E175" s="14" t="s">
        <v>74</v>
      </c>
      <c r="F175" s="34">
        <v>41639</v>
      </c>
      <c r="G175" s="15">
        <v>1</v>
      </c>
      <c r="H175" s="48">
        <v>1346644.0377499999</v>
      </c>
      <c r="I175" s="48">
        <v>623138.45620000002</v>
      </c>
      <c r="J175" s="48">
        <v>518457.95</v>
      </c>
      <c r="K175" s="20"/>
      <c r="L175" s="71"/>
      <c r="M175" s="35"/>
      <c r="N175" s="41" t="s">
        <v>68</v>
      </c>
    </row>
    <row r="176" spans="2:14" ht="15.75">
      <c r="B176" s="24">
        <v>26</v>
      </c>
      <c r="C176" s="8" t="s">
        <v>42</v>
      </c>
      <c r="D176" s="14" t="s">
        <v>73</v>
      </c>
      <c r="E176" s="14"/>
      <c r="F176" s="34">
        <v>42004</v>
      </c>
      <c r="G176" s="15">
        <v>1</v>
      </c>
      <c r="H176" s="48">
        <v>1112790.7781799999</v>
      </c>
      <c r="I176" s="48">
        <v>459776.34351999999</v>
      </c>
      <c r="J176" s="48">
        <v>372784.91</v>
      </c>
      <c r="K176" s="20"/>
      <c r="L176" s="71"/>
      <c r="M176" s="35"/>
      <c r="N176" s="41" t="s">
        <v>68</v>
      </c>
    </row>
    <row r="177" spans="1:14" ht="15.75">
      <c r="B177" s="24">
        <v>27</v>
      </c>
      <c r="C177" s="8" t="s">
        <v>42</v>
      </c>
      <c r="D177" s="14" t="s">
        <v>73</v>
      </c>
      <c r="E177" s="14" t="s">
        <v>74</v>
      </c>
      <c r="F177" s="34">
        <v>37288</v>
      </c>
      <c r="G177" s="15">
        <v>1</v>
      </c>
      <c r="H177" s="48">
        <v>250661.76605999999</v>
      </c>
      <c r="I177" s="48">
        <v>16335.379010000001</v>
      </c>
      <c r="J177" s="48">
        <v>67779.820000000007</v>
      </c>
      <c r="K177" s="20"/>
      <c r="L177" s="71"/>
      <c r="M177" s="35"/>
      <c r="N177" s="41" t="s">
        <v>68</v>
      </c>
    </row>
    <row r="178" spans="1:14" ht="15.75">
      <c r="B178" s="24">
        <v>28</v>
      </c>
      <c r="C178" s="8" t="s">
        <v>42</v>
      </c>
      <c r="D178" s="14" t="s">
        <v>73</v>
      </c>
      <c r="E178" s="14" t="s">
        <v>74</v>
      </c>
      <c r="F178" s="34">
        <v>37288</v>
      </c>
      <c r="G178" s="15">
        <v>1</v>
      </c>
      <c r="H178" s="48">
        <v>24629.272430000001</v>
      </c>
      <c r="I178" s="48">
        <v>2245.99649</v>
      </c>
      <c r="J178" s="48">
        <v>24629.27</v>
      </c>
      <c r="K178" s="20"/>
      <c r="L178" s="71"/>
      <c r="M178" s="35"/>
      <c r="N178" s="41" t="s">
        <v>68</v>
      </c>
    </row>
    <row r="179" spans="1:14" ht="15.75">
      <c r="B179" s="24">
        <v>29</v>
      </c>
      <c r="C179" s="8" t="s">
        <v>70</v>
      </c>
      <c r="D179" s="14" t="s">
        <v>66</v>
      </c>
      <c r="E179" s="14" t="s">
        <v>67</v>
      </c>
      <c r="F179" s="34">
        <v>37953</v>
      </c>
      <c r="G179" s="15">
        <v>1</v>
      </c>
      <c r="H179" s="48">
        <v>654.85920999999996</v>
      </c>
      <c r="I179" s="48">
        <v>297.83440999999999</v>
      </c>
      <c r="J179" s="48">
        <v>611.20000000000005</v>
      </c>
      <c r="K179" s="20"/>
      <c r="L179" s="71"/>
      <c r="M179" s="35"/>
      <c r="N179" s="41" t="s">
        <v>68</v>
      </c>
    </row>
    <row r="180" spans="1:14" ht="15.75">
      <c r="B180" s="24">
        <v>30</v>
      </c>
      <c r="C180" s="8" t="s">
        <v>42</v>
      </c>
      <c r="D180" s="14" t="s">
        <v>73</v>
      </c>
      <c r="E180" s="17"/>
      <c r="F180" s="34">
        <v>43588</v>
      </c>
      <c r="G180" s="15">
        <v>1</v>
      </c>
      <c r="H180" s="48">
        <v>23033.43952</v>
      </c>
      <c r="I180" s="48">
        <v>11231.12061</v>
      </c>
      <c r="J180" s="48">
        <v>17179.11</v>
      </c>
      <c r="K180" s="20"/>
      <c r="L180" s="71"/>
      <c r="M180" s="35"/>
      <c r="N180" s="41" t="s">
        <v>68</v>
      </c>
    </row>
    <row r="181" spans="1:14" ht="15.75">
      <c r="B181" s="24">
        <v>31</v>
      </c>
      <c r="C181" s="8" t="s">
        <v>42</v>
      </c>
      <c r="D181" s="14" t="s">
        <v>73</v>
      </c>
      <c r="E181" s="17"/>
      <c r="F181" s="34">
        <v>43588</v>
      </c>
      <c r="G181" s="15">
        <v>1</v>
      </c>
      <c r="H181" s="48">
        <v>30053.031950000001</v>
      </c>
      <c r="I181" s="48">
        <v>13388.201639999999</v>
      </c>
      <c r="J181" s="48">
        <v>16729.52</v>
      </c>
      <c r="K181" s="20"/>
      <c r="L181" s="71"/>
      <c r="M181" s="35"/>
      <c r="N181" s="41" t="s">
        <v>68</v>
      </c>
    </row>
    <row r="182" spans="1:14" ht="15.75">
      <c r="B182" s="24">
        <v>32</v>
      </c>
      <c r="C182" s="8" t="s">
        <v>42</v>
      </c>
      <c r="D182" s="14" t="s">
        <v>73</v>
      </c>
      <c r="E182" s="17"/>
      <c r="F182" s="34">
        <v>42766</v>
      </c>
      <c r="G182" s="15">
        <v>1</v>
      </c>
      <c r="H182" s="48">
        <v>127487.70266</v>
      </c>
      <c r="I182" s="48">
        <v>37749.761859999999</v>
      </c>
      <c r="J182" s="48">
        <v>34740.39</v>
      </c>
      <c r="K182" s="20"/>
      <c r="L182" s="71"/>
      <c r="M182" s="35"/>
      <c r="N182" s="41" t="s">
        <v>68</v>
      </c>
    </row>
    <row r="183" spans="1:14" s="36" customFormat="1" ht="22.9" customHeight="1">
      <c r="B183" s="24">
        <v>33</v>
      </c>
      <c r="C183" s="8" t="s">
        <v>42</v>
      </c>
      <c r="D183" s="14" t="s">
        <v>112</v>
      </c>
      <c r="E183" s="14" t="s">
        <v>83</v>
      </c>
      <c r="F183" s="34">
        <v>34851</v>
      </c>
      <c r="G183" s="37">
        <v>1</v>
      </c>
      <c r="H183" s="48">
        <v>4755</v>
      </c>
      <c r="I183" s="48">
        <v>1080</v>
      </c>
      <c r="J183" s="48">
        <v>24809</v>
      </c>
      <c r="K183" s="20"/>
      <c r="L183" s="71"/>
      <c r="M183" s="39"/>
      <c r="N183" s="50" t="s">
        <v>84</v>
      </c>
    </row>
    <row r="184" spans="1:14" s="12" customFormat="1" ht="18" customHeight="1">
      <c r="B184" s="24">
        <v>34</v>
      </c>
      <c r="C184" s="8" t="s">
        <v>42</v>
      </c>
      <c r="D184" s="14" t="s">
        <v>85</v>
      </c>
      <c r="E184" s="14" t="s">
        <v>86</v>
      </c>
      <c r="F184" s="34">
        <v>35521</v>
      </c>
      <c r="G184" s="15">
        <v>1</v>
      </c>
      <c r="H184" s="46">
        <v>65713.73</v>
      </c>
      <c r="I184" s="46">
        <v>20417.93</v>
      </c>
      <c r="J184" s="46">
        <v>62121</v>
      </c>
      <c r="K184" s="20"/>
      <c r="L184" s="71"/>
      <c r="M184" s="40"/>
      <c r="N184" s="41" t="s">
        <v>87</v>
      </c>
    </row>
    <row r="185" spans="1:14" s="12" customFormat="1" ht="18" customHeight="1">
      <c r="B185" s="24">
        <v>35</v>
      </c>
      <c r="C185" s="8" t="s">
        <v>42</v>
      </c>
      <c r="D185" s="14" t="s">
        <v>88</v>
      </c>
      <c r="E185" s="14" t="s">
        <v>89</v>
      </c>
      <c r="F185" s="34">
        <v>23437</v>
      </c>
      <c r="G185" s="15">
        <v>1</v>
      </c>
      <c r="H185" s="46">
        <v>3057.1</v>
      </c>
      <c r="I185" s="46">
        <v>120.07</v>
      </c>
      <c r="J185" s="46">
        <v>4110</v>
      </c>
      <c r="K185" s="20"/>
      <c r="L185" s="71"/>
      <c r="M185" s="40"/>
      <c r="N185" s="41" t="s">
        <v>87</v>
      </c>
    </row>
    <row r="186" spans="1:14" s="12" customFormat="1" ht="18" customHeight="1">
      <c r="B186" s="24">
        <v>36</v>
      </c>
      <c r="C186" s="8" t="s">
        <v>42</v>
      </c>
      <c r="D186" s="14" t="s">
        <v>90</v>
      </c>
      <c r="E186" s="14" t="s">
        <v>91</v>
      </c>
      <c r="F186" s="34">
        <v>15707</v>
      </c>
      <c r="G186" s="15">
        <v>1</v>
      </c>
      <c r="H186" s="46">
        <v>333901</v>
      </c>
      <c r="I186" s="46">
        <v>111424.85</v>
      </c>
      <c r="J186" s="46">
        <v>200124</v>
      </c>
      <c r="K186" s="20"/>
      <c r="L186" s="71"/>
      <c r="M186" s="40"/>
      <c r="N186" s="41" t="s">
        <v>87</v>
      </c>
    </row>
    <row r="187" spans="1:14" s="12" customFormat="1" ht="18" customHeight="1">
      <c r="B187" s="24">
        <v>37</v>
      </c>
      <c r="C187" s="8" t="s">
        <v>42</v>
      </c>
      <c r="D187" s="14" t="s">
        <v>92</v>
      </c>
      <c r="E187" s="14" t="s">
        <v>93</v>
      </c>
      <c r="F187" s="34">
        <v>32781</v>
      </c>
      <c r="G187" s="15">
        <v>1</v>
      </c>
      <c r="H187" s="46">
        <v>33048.46</v>
      </c>
      <c r="I187" s="46">
        <v>5679.58</v>
      </c>
      <c r="J187" s="46">
        <v>39784</v>
      </c>
      <c r="K187" s="20"/>
      <c r="L187" s="71"/>
      <c r="M187" s="40"/>
      <c r="N187" s="41" t="s">
        <v>87</v>
      </c>
    </row>
    <row r="188" spans="1:14" s="12" customFormat="1" ht="18" customHeight="1">
      <c r="B188" s="24">
        <v>38</v>
      </c>
      <c r="C188" s="8" t="s">
        <v>42</v>
      </c>
      <c r="D188" s="14" t="s">
        <v>94</v>
      </c>
      <c r="E188" s="14" t="s">
        <v>95</v>
      </c>
      <c r="F188" s="34">
        <v>31747</v>
      </c>
      <c r="G188" s="15">
        <v>1</v>
      </c>
      <c r="H188" s="46">
        <v>113324.6</v>
      </c>
      <c r="I188" s="46">
        <v>18407.18</v>
      </c>
      <c r="J188" s="46">
        <v>119451</v>
      </c>
      <c r="K188" s="20"/>
      <c r="L188" s="71"/>
      <c r="M188" s="40"/>
      <c r="N188" s="41" t="s">
        <v>87</v>
      </c>
    </row>
    <row r="189" spans="1:14" s="12" customFormat="1" ht="18" customHeight="1">
      <c r="B189" s="24">
        <v>39</v>
      </c>
      <c r="C189" s="8" t="s">
        <v>42</v>
      </c>
      <c r="D189" s="14" t="s">
        <v>96</v>
      </c>
      <c r="E189" s="14" t="s">
        <v>97</v>
      </c>
      <c r="F189" s="34">
        <v>31382</v>
      </c>
      <c r="G189" s="15">
        <v>1</v>
      </c>
      <c r="H189" s="46">
        <v>199080.58</v>
      </c>
      <c r="I189" s="46">
        <v>22597.77</v>
      </c>
      <c r="J189" s="46">
        <v>223241</v>
      </c>
      <c r="K189" s="20"/>
      <c r="L189" s="71"/>
      <c r="M189" s="40"/>
      <c r="N189" s="41" t="s">
        <v>87</v>
      </c>
    </row>
    <row r="190" spans="1:14" s="12" customFormat="1" ht="18" customHeight="1">
      <c r="A190" s="36"/>
      <c r="B190" s="24">
        <v>40</v>
      </c>
      <c r="C190" s="8" t="s">
        <v>59</v>
      </c>
      <c r="D190" s="14" t="s">
        <v>43</v>
      </c>
      <c r="E190" s="14" t="s">
        <v>98</v>
      </c>
      <c r="F190" s="34">
        <v>42430</v>
      </c>
      <c r="G190" s="15">
        <v>1</v>
      </c>
      <c r="H190" s="46">
        <v>79623.600000000006</v>
      </c>
      <c r="I190" s="46">
        <v>36723.4</v>
      </c>
      <c r="J190" s="46">
        <v>11634.6</v>
      </c>
      <c r="K190" s="20"/>
      <c r="L190" s="71"/>
      <c r="M190" s="42"/>
      <c r="N190" s="50" t="s">
        <v>99</v>
      </c>
    </row>
    <row r="191" spans="1:14" s="12" customFormat="1" ht="18" customHeight="1">
      <c r="A191" s="36"/>
      <c r="B191" s="24">
        <v>41</v>
      </c>
      <c r="C191" s="8" t="s">
        <v>59</v>
      </c>
      <c r="D191" s="14" t="s">
        <v>43</v>
      </c>
      <c r="E191" s="14" t="s">
        <v>98</v>
      </c>
      <c r="F191" s="34">
        <v>42430</v>
      </c>
      <c r="G191" s="15">
        <v>1</v>
      </c>
      <c r="H191" s="46">
        <v>6636.1</v>
      </c>
      <c r="I191" s="46">
        <v>2373.8000000000002</v>
      </c>
      <c r="J191" s="46">
        <v>95644.800000000003</v>
      </c>
      <c r="K191" s="20"/>
      <c r="L191" s="71"/>
      <c r="M191" s="42"/>
      <c r="N191" s="50" t="s">
        <v>99</v>
      </c>
    </row>
    <row r="192" spans="1:14" s="12" customFormat="1" ht="18" customHeight="1">
      <c r="A192" s="36"/>
      <c r="B192" s="24">
        <v>42</v>
      </c>
      <c r="C192" s="8" t="s">
        <v>69</v>
      </c>
      <c r="D192" s="14" t="s">
        <v>43</v>
      </c>
      <c r="E192" s="14" t="s">
        <v>98</v>
      </c>
      <c r="F192" s="34">
        <v>42430</v>
      </c>
      <c r="G192" s="15">
        <v>1</v>
      </c>
      <c r="H192" s="46">
        <v>142567.29999999999</v>
      </c>
      <c r="I192" s="46">
        <v>49739.199999999997</v>
      </c>
      <c r="J192" s="46">
        <v>96664.2</v>
      </c>
      <c r="K192" s="20"/>
      <c r="L192" s="71"/>
      <c r="M192" s="42"/>
      <c r="N192" s="50" t="s">
        <v>99</v>
      </c>
    </row>
    <row r="193" spans="1:14" s="12" customFormat="1" ht="18" customHeight="1">
      <c r="A193" s="36"/>
      <c r="B193" s="24">
        <v>43</v>
      </c>
      <c r="C193" s="8" t="s">
        <v>65</v>
      </c>
      <c r="D193" s="14" t="s">
        <v>43</v>
      </c>
      <c r="E193" s="14" t="s">
        <v>98</v>
      </c>
      <c r="F193" s="34">
        <v>44196</v>
      </c>
      <c r="G193" s="15">
        <v>1</v>
      </c>
      <c r="H193" s="46">
        <v>1184893.5</v>
      </c>
      <c r="I193" s="46"/>
      <c r="J193" s="46">
        <v>104481.60000000001</v>
      </c>
      <c r="K193" s="20"/>
      <c r="L193" s="71"/>
      <c r="M193" s="42"/>
      <c r="N193" s="50" t="s">
        <v>99</v>
      </c>
    </row>
    <row r="194" spans="1:14" s="12" customFormat="1" ht="18" customHeight="1">
      <c r="A194" s="36"/>
      <c r="B194" s="24">
        <v>44</v>
      </c>
      <c r="C194" s="8" t="s">
        <v>59</v>
      </c>
      <c r="D194" s="14" t="s">
        <v>43</v>
      </c>
      <c r="E194" s="14" t="s">
        <v>98</v>
      </c>
      <c r="F194" s="34">
        <v>44560</v>
      </c>
      <c r="G194" s="15">
        <v>1</v>
      </c>
      <c r="H194" s="46">
        <v>164791.79999999999</v>
      </c>
      <c r="I194" s="46"/>
      <c r="J194" s="46">
        <v>97654.8</v>
      </c>
      <c r="K194" s="20"/>
      <c r="L194" s="71"/>
      <c r="M194" s="42"/>
      <c r="N194" s="50" t="s">
        <v>99</v>
      </c>
    </row>
    <row r="195" spans="1:14" s="12" customFormat="1" ht="18" customHeight="1" thickBot="1">
      <c r="A195" s="36"/>
      <c r="B195" s="24">
        <v>45</v>
      </c>
      <c r="C195" s="8" t="s">
        <v>100</v>
      </c>
      <c r="D195" s="14" t="s">
        <v>43</v>
      </c>
      <c r="E195" s="14" t="s">
        <v>98</v>
      </c>
      <c r="F195" s="34">
        <v>42430</v>
      </c>
      <c r="G195" s="15">
        <v>1</v>
      </c>
      <c r="H195" s="46">
        <v>29808.1</v>
      </c>
      <c r="I195" s="46">
        <v>12743.9</v>
      </c>
      <c r="J195" s="46">
        <v>95818.5</v>
      </c>
      <c r="K195" s="20"/>
      <c r="L195" s="71"/>
      <c r="M195" s="42"/>
      <c r="N195" s="50" t="s">
        <v>99</v>
      </c>
    </row>
    <row r="196" spans="1:14" ht="27.75" customHeight="1" thickBot="1">
      <c r="B196" s="24">
        <v>46</v>
      </c>
      <c r="C196" s="8" t="s">
        <v>59</v>
      </c>
      <c r="D196" s="14" t="s">
        <v>73</v>
      </c>
      <c r="E196" s="14" t="s">
        <v>101</v>
      </c>
      <c r="F196" s="34">
        <v>22586</v>
      </c>
      <c r="G196" s="15">
        <v>1</v>
      </c>
      <c r="H196" s="46">
        <v>26941</v>
      </c>
      <c r="I196" s="46">
        <v>1521</v>
      </c>
      <c r="J196" s="46"/>
      <c r="K196" s="20"/>
      <c r="L196" s="71"/>
      <c r="M196" s="21"/>
      <c r="N196" s="51" t="s">
        <v>102</v>
      </c>
    </row>
    <row r="197" spans="1:14" ht="27.75" customHeight="1" thickBot="1">
      <c r="B197" s="24">
        <v>47</v>
      </c>
      <c r="C197" s="8" t="s">
        <v>59</v>
      </c>
      <c r="D197" s="14" t="s">
        <v>73</v>
      </c>
      <c r="E197" s="14" t="s">
        <v>101</v>
      </c>
      <c r="F197" s="34">
        <v>26238</v>
      </c>
      <c r="G197" s="15">
        <v>1</v>
      </c>
      <c r="H197" s="46">
        <v>14059</v>
      </c>
      <c r="I197" s="46">
        <v>218</v>
      </c>
      <c r="J197" s="46"/>
      <c r="K197" s="20"/>
      <c r="L197" s="71"/>
      <c r="M197" s="21"/>
      <c r="N197" s="51" t="s">
        <v>102</v>
      </c>
    </row>
    <row r="198" spans="1:14" ht="27.75" customHeight="1" thickBot="1">
      <c r="B198" s="24">
        <v>48</v>
      </c>
      <c r="C198" s="8" t="s">
        <v>42</v>
      </c>
      <c r="D198" s="14" t="s">
        <v>73</v>
      </c>
      <c r="E198" s="14" t="s">
        <v>101</v>
      </c>
      <c r="F198" s="34">
        <v>31747</v>
      </c>
      <c r="G198" s="15">
        <v>1</v>
      </c>
      <c r="H198" s="46">
        <v>37170</v>
      </c>
      <c r="I198" s="46">
        <v>5877</v>
      </c>
      <c r="J198" s="46"/>
      <c r="K198" s="20"/>
      <c r="L198" s="71"/>
      <c r="M198" s="21"/>
      <c r="N198" s="51" t="s">
        <v>102</v>
      </c>
    </row>
    <row r="199" spans="1:14" ht="27.75" customHeight="1" thickBot="1">
      <c r="B199" s="24">
        <v>49</v>
      </c>
      <c r="C199" s="8" t="s">
        <v>42</v>
      </c>
      <c r="D199" s="14" t="s">
        <v>73</v>
      </c>
      <c r="E199" s="14" t="s">
        <v>101</v>
      </c>
      <c r="F199" s="34">
        <v>33390</v>
      </c>
      <c r="G199" s="15">
        <v>1</v>
      </c>
      <c r="H199" s="46">
        <v>66679</v>
      </c>
      <c r="I199" s="46">
        <v>12254</v>
      </c>
      <c r="J199" s="46"/>
      <c r="K199" s="20"/>
      <c r="L199" s="71"/>
      <c r="M199" s="21"/>
      <c r="N199" s="51" t="s">
        <v>102</v>
      </c>
    </row>
    <row r="200" spans="1:14" ht="27.75" customHeight="1" thickBot="1">
      <c r="B200" s="24">
        <v>50</v>
      </c>
      <c r="C200" s="8" t="s">
        <v>69</v>
      </c>
      <c r="D200" s="14" t="s">
        <v>73</v>
      </c>
      <c r="E200" s="14" t="s">
        <v>101</v>
      </c>
      <c r="F200" s="34">
        <v>34790</v>
      </c>
      <c r="G200" s="15">
        <v>1</v>
      </c>
      <c r="H200" s="46">
        <v>97713</v>
      </c>
      <c r="I200" s="46">
        <v>14274</v>
      </c>
      <c r="J200" s="46">
        <v>732</v>
      </c>
      <c r="K200" s="20"/>
      <c r="L200" s="71"/>
      <c r="M200" s="21"/>
      <c r="N200" s="51" t="s">
        <v>102</v>
      </c>
    </row>
    <row r="201" spans="1:14" ht="27.75" customHeight="1" thickBot="1">
      <c r="B201" s="24">
        <v>51</v>
      </c>
      <c r="C201" s="8" t="s">
        <v>59</v>
      </c>
      <c r="D201" s="14" t="s">
        <v>73</v>
      </c>
      <c r="E201" s="14" t="s">
        <v>101</v>
      </c>
      <c r="F201" s="34">
        <v>36130</v>
      </c>
      <c r="G201" s="15">
        <v>1</v>
      </c>
      <c r="H201" s="46">
        <v>5393</v>
      </c>
      <c r="I201" s="46">
        <v>1287</v>
      </c>
      <c r="J201" s="46">
        <v>40</v>
      </c>
      <c r="K201" s="20"/>
      <c r="L201" s="71"/>
      <c r="M201" s="21"/>
      <c r="N201" s="51" t="s">
        <v>102</v>
      </c>
    </row>
    <row r="202" spans="1:14" ht="27.75" customHeight="1" thickBot="1">
      <c r="B202" s="24">
        <v>52</v>
      </c>
      <c r="C202" s="8" t="s">
        <v>70</v>
      </c>
      <c r="D202" s="14" t="s">
        <v>73</v>
      </c>
      <c r="E202" s="14" t="s">
        <v>101</v>
      </c>
      <c r="F202" s="34">
        <v>36130</v>
      </c>
      <c r="G202" s="15">
        <v>1</v>
      </c>
      <c r="H202" s="46">
        <v>20082</v>
      </c>
      <c r="I202" s="46">
        <v>4794</v>
      </c>
      <c r="J202" s="46">
        <v>150</v>
      </c>
      <c r="K202" s="20"/>
      <c r="L202" s="71"/>
      <c r="M202" s="21"/>
      <c r="N202" s="51" t="s">
        <v>102</v>
      </c>
    </row>
    <row r="203" spans="1:14" ht="27.75" customHeight="1" thickBot="1">
      <c r="B203" s="24">
        <v>53</v>
      </c>
      <c r="C203" s="8" t="s">
        <v>42</v>
      </c>
      <c r="D203" s="14" t="s">
        <v>73</v>
      </c>
      <c r="E203" s="14" t="s">
        <v>101</v>
      </c>
      <c r="F203" s="34">
        <v>36130</v>
      </c>
      <c r="G203" s="15">
        <v>1</v>
      </c>
      <c r="H203" s="46">
        <v>3800</v>
      </c>
      <c r="I203" s="46">
        <v>907</v>
      </c>
      <c r="J203" s="46">
        <v>28</v>
      </c>
      <c r="K203" s="20"/>
      <c r="L203" s="71"/>
      <c r="M203" s="21"/>
      <c r="N203" s="51" t="s">
        <v>102</v>
      </c>
    </row>
    <row r="204" spans="1:14" ht="27.75" customHeight="1" thickBot="1">
      <c r="B204" s="24">
        <v>54</v>
      </c>
      <c r="C204" s="8" t="s">
        <v>42</v>
      </c>
      <c r="D204" s="14" t="s">
        <v>73</v>
      </c>
      <c r="E204" s="14" t="s">
        <v>101</v>
      </c>
      <c r="F204" s="34">
        <v>36130</v>
      </c>
      <c r="G204" s="15">
        <v>1</v>
      </c>
      <c r="H204" s="46">
        <v>160584</v>
      </c>
      <c r="I204" s="46">
        <v>38340</v>
      </c>
      <c r="J204" s="46">
        <v>1204</v>
      </c>
      <c r="K204" s="20"/>
      <c r="L204" s="71"/>
      <c r="M204" s="21"/>
      <c r="N204" s="51" t="s">
        <v>102</v>
      </c>
    </row>
    <row r="205" spans="1:14" ht="27.75" customHeight="1" thickBot="1">
      <c r="B205" s="24">
        <v>55</v>
      </c>
      <c r="C205" s="8" t="s">
        <v>42</v>
      </c>
      <c r="D205" s="14" t="s">
        <v>73</v>
      </c>
      <c r="E205" s="14" t="s">
        <v>101</v>
      </c>
      <c r="F205" s="34">
        <v>36130</v>
      </c>
      <c r="G205" s="15">
        <v>1</v>
      </c>
      <c r="H205" s="46">
        <v>261786</v>
      </c>
      <c r="I205" s="46">
        <v>62503</v>
      </c>
      <c r="J205" s="46">
        <v>1963</v>
      </c>
      <c r="K205" s="20"/>
      <c r="L205" s="71"/>
      <c r="M205" s="21"/>
      <c r="N205" s="51" t="s">
        <v>102</v>
      </c>
    </row>
    <row r="206" spans="1:14" ht="27.75" customHeight="1" thickBot="1">
      <c r="B206" s="24">
        <v>56</v>
      </c>
      <c r="C206" s="8" t="s">
        <v>42</v>
      </c>
      <c r="D206" s="14" t="s">
        <v>73</v>
      </c>
      <c r="E206" s="14" t="s">
        <v>101</v>
      </c>
      <c r="F206" s="34">
        <v>36130</v>
      </c>
      <c r="G206" s="15">
        <v>1</v>
      </c>
      <c r="H206" s="46">
        <v>95697</v>
      </c>
      <c r="I206" s="46">
        <v>22848</v>
      </c>
      <c r="J206" s="46">
        <v>717</v>
      </c>
      <c r="K206" s="20"/>
      <c r="L206" s="71"/>
      <c r="M206" s="21"/>
      <c r="N206" s="51" t="s">
        <v>102</v>
      </c>
    </row>
    <row r="207" spans="1:14" ht="27.75" customHeight="1" thickBot="1">
      <c r="B207" s="24">
        <v>57</v>
      </c>
      <c r="C207" s="8" t="s">
        <v>42</v>
      </c>
      <c r="D207" s="14" t="s">
        <v>73</v>
      </c>
      <c r="E207" s="14" t="s">
        <v>101</v>
      </c>
      <c r="F207" s="34">
        <v>36130</v>
      </c>
      <c r="G207" s="15">
        <v>1</v>
      </c>
      <c r="H207" s="46">
        <v>263275</v>
      </c>
      <c r="I207" s="46">
        <v>62858</v>
      </c>
      <c r="J207" s="46">
        <v>1974</v>
      </c>
      <c r="K207" s="20"/>
      <c r="L207" s="71"/>
      <c r="M207" s="21"/>
      <c r="N207" s="51" t="s">
        <v>102</v>
      </c>
    </row>
    <row r="208" spans="1:14" ht="27.75" customHeight="1" thickBot="1">
      <c r="B208" s="24">
        <v>58</v>
      </c>
      <c r="C208" s="8" t="s">
        <v>59</v>
      </c>
      <c r="D208" s="14" t="s">
        <v>73</v>
      </c>
      <c r="E208" s="14" t="s">
        <v>101</v>
      </c>
      <c r="F208" s="34">
        <v>36130</v>
      </c>
      <c r="G208" s="15">
        <v>1</v>
      </c>
      <c r="H208" s="46">
        <v>212666</v>
      </c>
      <c r="I208" s="46">
        <v>50775</v>
      </c>
      <c r="J208" s="46">
        <v>1594</v>
      </c>
      <c r="K208" s="20"/>
      <c r="L208" s="71"/>
      <c r="M208" s="21"/>
      <c r="N208" s="51" t="s">
        <v>102</v>
      </c>
    </row>
    <row r="209" spans="2:14" ht="27.75" customHeight="1" thickBot="1">
      <c r="B209" s="24">
        <v>59</v>
      </c>
      <c r="C209" s="8" t="s">
        <v>42</v>
      </c>
      <c r="D209" s="14" t="s">
        <v>73</v>
      </c>
      <c r="E209" s="14" t="s">
        <v>101</v>
      </c>
      <c r="F209" s="34">
        <v>37256</v>
      </c>
      <c r="G209" s="15">
        <v>1</v>
      </c>
      <c r="H209" s="46">
        <v>37694</v>
      </c>
      <c r="I209" s="46">
        <v>14552</v>
      </c>
      <c r="J209" s="46">
        <v>282</v>
      </c>
      <c r="K209" s="20"/>
      <c r="L209" s="71"/>
      <c r="M209" s="21"/>
      <c r="N209" s="51" t="s">
        <v>102</v>
      </c>
    </row>
    <row r="210" spans="2:14" ht="27.75" customHeight="1" thickBot="1">
      <c r="B210" s="24">
        <v>60</v>
      </c>
      <c r="C210" s="8" t="s">
        <v>42</v>
      </c>
      <c r="D210" s="14" t="s">
        <v>73</v>
      </c>
      <c r="E210" s="14" t="s">
        <v>101</v>
      </c>
      <c r="F210" s="34">
        <v>37256</v>
      </c>
      <c r="G210" s="15">
        <v>1</v>
      </c>
      <c r="H210" s="46">
        <v>70481</v>
      </c>
      <c r="I210" s="46">
        <v>27211</v>
      </c>
      <c r="J210" s="46">
        <v>528</v>
      </c>
      <c r="K210" s="20"/>
      <c r="L210" s="71"/>
      <c r="M210" s="21"/>
      <c r="N210" s="51" t="s">
        <v>102</v>
      </c>
    </row>
    <row r="211" spans="2:14" ht="27.75" customHeight="1" thickBot="1">
      <c r="B211" s="24">
        <v>61</v>
      </c>
      <c r="C211" s="8" t="s">
        <v>42</v>
      </c>
      <c r="D211" s="14" t="s">
        <v>73</v>
      </c>
      <c r="E211" s="14" t="s">
        <v>101</v>
      </c>
      <c r="F211" s="34">
        <v>37256</v>
      </c>
      <c r="G211" s="15">
        <v>1</v>
      </c>
      <c r="H211" s="46">
        <v>4686</v>
      </c>
      <c r="I211" s="46">
        <v>1820</v>
      </c>
      <c r="J211" s="46">
        <v>35</v>
      </c>
      <c r="K211" s="20"/>
      <c r="L211" s="71"/>
      <c r="M211" s="21"/>
      <c r="N211" s="51" t="s">
        <v>102</v>
      </c>
    </row>
    <row r="212" spans="2:14" ht="27.75" customHeight="1" thickBot="1">
      <c r="B212" s="24">
        <v>62</v>
      </c>
      <c r="C212" s="8" t="s">
        <v>42</v>
      </c>
      <c r="D212" s="14" t="s">
        <v>73</v>
      </c>
      <c r="E212" s="14" t="s">
        <v>101</v>
      </c>
      <c r="F212" s="34">
        <v>38351</v>
      </c>
      <c r="G212" s="15">
        <v>1</v>
      </c>
      <c r="H212" s="46">
        <v>86894</v>
      </c>
      <c r="I212" s="46">
        <v>52090</v>
      </c>
      <c r="J212" s="46">
        <v>651</v>
      </c>
      <c r="K212" s="20"/>
      <c r="L212" s="71"/>
      <c r="M212" s="21"/>
      <c r="N212" s="51" t="s">
        <v>102</v>
      </c>
    </row>
    <row r="213" spans="2:14" ht="27.75" customHeight="1" thickBot="1">
      <c r="B213" s="24">
        <v>63</v>
      </c>
      <c r="C213" s="8" t="s">
        <v>42</v>
      </c>
      <c r="D213" s="14" t="s">
        <v>73</v>
      </c>
      <c r="E213" s="14" t="s">
        <v>101</v>
      </c>
      <c r="F213" s="34">
        <v>45840</v>
      </c>
      <c r="G213" s="15">
        <v>1</v>
      </c>
      <c r="H213" s="46">
        <v>1342</v>
      </c>
      <c r="I213" s="46"/>
      <c r="J213" s="46"/>
      <c r="K213" s="20"/>
      <c r="L213" s="71"/>
      <c r="M213" s="21"/>
      <c r="N213" s="51" t="s">
        <v>102</v>
      </c>
    </row>
    <row r="214" spans="2:14" ht="27.75" customHeight="1" thickBot="1">
      <c r="B214" s="24">
        <v>64</v>
      </c>
      <c r="C214" s="8" t="s">
        <v>42</v>
      </c>
      <c r="D214" s="14" t="s">
        <v>73</v>
      </c>
      <c r="E214" s="14" t="s">
        <v>101</v>
      </c>
      <c r="F214" s="34">
        <v>38686</v>
      </c>
      <c r="G214" s="15">
        <v>1</v>
      </c>
      <c r="H214" s="46">
        <v>16160</v>
      </c>
      <c r="I214" s="46">
        <v>6058</v>
      </c>
      <c r="J214" s="46">
        <v>121</v>
      </c>
      <c r="K214" s="20"/>
      <c r="L214" s="71"/>
      <c r="M214" s="21"/>
      <c r="N214" s="51" t="s">
        <v>102</v>
      </c>
    </row>
    <row r="215" spans="2:14" ht="27.75" customHeight="1" thickBot="1">
      <c r="B215" s="24">
        <v>65</v>
      </c>
      <c r="C215" s="8" t="s">
        <v>42</v>
      </c>
      <c r="D215" s="14" t="s">
        <v>73</v>
      </c>
      <c r="E215" s="14" t="s">
        <v>101</v>
      </c>
      <c r="F215" s="34">
        <v>39538</v>
      </c>
      <c r="G215" s="15">
        <v>1</v>
      </c>
      <c r="H215" s="46">
        <v>16134</v>
      </c>
      <c r="I215" s="46">
        <v>8652</v>
      </c>
      <c r="J215" s="46">
        <v>121</v>
      </c>
      <c r="K215" s="20"/>
      <c r="L215" s="71"/>
      <c r="M215" s="21"/>
      <c r="N215" s="51" t="s">
        <v>102</v>
      </c>
    </row>
    <row r="216" spans="2:14" ht="27.75" customHeight="1" thickBot="1">
      <c r="B216" s="24">
        <v>66</v>
      </c>
      <c r="C216" s="8" t="s">
        <v>42</v>
      </c>
      <c r="D216" s="14" t="s">
        <v>73</v>
      </c>
      <c r="E216" s="14" t="s">
        <v>101</v>
      </c>
      <c r="F216" s="34">
        <v>39568</v>
      </c>
      <c r="G216" s="15">
        <v>1</v>
      </c>
      <c r="H216" s="46">
        <v>88709</v>
      </c>
      <c r="I216" s="46">
        <v>42567</v>
      </c>
      <c r="J216" s="46">
        <v>665</v>
      </c>
      <c r="K216" s="20"/>
      <c r="L216" s="71"/>
      <c r="M216" s="21"/>
      <c r="N216" s="51" t="s">
        <v>102</v>
      </c>
    </row>
    <row r="217" spans="2:14" ht="27.75" customHeight="1" thickBot="1">
      <c r="B217" s="24">
        <v>67</v>
      </c>
      <c r="C217" s="8" t="s">
        <v>71</v>
      </c>
      <c r="D217" s="14" t="s">
        <v>73</v>
      </c>
      <c r="E217" s="14" t="s">
        <v>101</v>
      </c>
      <c r="F217" s="34">
        <v>39721</v>
      </c>
      <c r="G217" s="15">
        <v>1</v>
      </c>
      <c r="H217" s="46">
        <v>14159</v>
      </c>
      <c r="I217" s="46">
        <v>519</v>
      </c>
      <c r="J217" s="46"/>
      <c r="K217" s="20"/>
      <c r="L217" s="71"/>
      <c r="M217" s="21"/>
      <c r="N217" s="51" t="s">
        <v>102</v>
      </c>
    </row>
    <row r="218" spans="2:14" ht="27.75" customHeight="1" thickBot="1">
      <c r="B218" s="24">
        <v>68</v>
      </c>
      <c r="C218" s="8" t="s">
        <v>71</v>
      </c>
      <c r="D218" s="14" t="s">
        <v>73</v>
      </c>
      <c r="E218" s="14" t="s">
        <v>101</v>
      </c>
      <c r="F218" s="34">
        <v>39721</v>
      </c>
      <c r="G218" s="15">
        <v>1</v>
      </c>
      <c r="H218" s="46">
        <v>84808</v>
      </c>
      <c r="I218" s="46">
        <v>5952</v>
      </c>
      <c r="J218" s="46"/>
      <c r="K218" s="20"/>
      <c r="L218" s="71"/>
      <c r="M218" s="21"/>
      <c r="N218" s="51" t="s">
        <v>102</v>
      </c>
    </row>
    <row r="219" spans="2:14" ht="27.75" customHeight="1" thickBot="1">
      <c r="B219" s="24">
        <v>69</v>
      </c>
      <c r="C219" s="8" t="s">
        <v>42</v>
      </c>
      <c r="D219" s="14" t="s">
        <v>73</v>
      </c>
      <c r="E219" s="14" t="s">
        <v>101</v>
      </c>
      <c r="F219" s="34">
        <v>40175</v>
      </c>
      <c r="G219" s="15">
        <v>1</v>
      </c>
      <c r="H219" s="46">
        <v>440879</v>
      </c>
      <c r="I219" s="46">
        <v>198223</v>
      </c>
      <c r="J219" s="46">
        <v>3306</v>
      </c>
      <c r="K219" s="20"/>
      <c r="L219" s="71"/>
      <c r="M219" s="21"/>
      <c r="N219" s="51" t="s">
        <v>102</v>
      </c>
    </row>
    <row r="220" spans="2:14" ht="35.25" customHeight="1" thickBot="1">
      <c r="B220" s="24">
        <v>70</v>
      </c>
      <c r="C220" s="8" t="s">
        <v>42</v>
      </c>
      <c r="D220" s="14" t="s">
        <v>73</v>
      </c>
      <c r="E220" s="14" t="s">
        <v>101</v>
      </c>
      <c r="F220" s="34">
        <v>40543</v>
      </c>
      <c r="G220" s="15">
        <v>1</v>
      </c>
      <c r="H220" s="46">
        <v>532777</v>
      </c>
      <c r="I220" s="46">
        <v>227970</v>
      </c>
      <c r="J220" s="46">
        <v>3995</v>
      </c>
      <c r="K220" s="20"/>
      <c r="L220" s="71"/>
      <c r="M220" s="21"/>
      <c r="N220" s="51" t="s">
        <v>102</v>
      </c>
    </row>
    <row r="221" spans="2:14" ht="39" customHeight="1" thickBot="1">
      <c r="B221" s="24">
        <v>71</v>
      </c>
      <c r="C221" s="8" t="s">
        <v>42</v>
      </c>
      <c r="D221" s="14" t="s">
        <v>73</v>
      </c>
      <c r="E221" s="14" t="s">
        <v>101</v>
      </c>
      <c r="F221" s="34">
        <v>40695</v>
      </c>
      <c r="G221" s="15">
        <v>1</v>
      </c>
      <c r="H221" s="46">
        <v>1443070</v>
      </c>
      <c r="I221" s="46">
        <v>593007</v>
      </c>
      <c r="J221" s="46">
        <v>18038</v>
      </c>
      <c r="K221" s="20"/>
      <c r="L221" s="71"/>
      <c r="M221" s="21"/>
      <c r="N221" s="51" t="s">
        <v>102</v>
      </c>
    </row>
    <row r="222" spans="2:14" ht="27.75" customHeight="1" thickBot="1">
      <c r="B222" s="24">
        <v>72</v>
      </c>
      <c r="C222" s="8" t="s">
        <v>42</v>
      </c>
      <c r="D222" s="14" t="s">
        <v>73</v>
      </c>
      <c r="E222" s="14" t="s">
        <v>101</v>
      </c>
      <c r="F222" s="34">
        <v>40908</v>
      </c>
      <c r="G222" s="15">
        <v>1</v>
      </c>
      <c r="H222" s="46">
        <v>696365</v>
      </c>
      <c r="I222" s="46">
        <v>277605</v>
      </c>
      <c r="J222" s="46">
        <v>5222</v>
      </c>
      <c r="K222" s="20"/>
      <c r="L222" s="71"/>
      <c r="M222" s="21"/>
      <c r="N222" s="51" t="s">
        <v>102</v>
      </c>
    </row>
    <row r="223" spans="2:14" ht="37.5" customHeight="1" thickBot="1">
      <c r="B223" s="24">
        <v>73</v>
      </c>
      <c r="C223" s="8" t="s">
        <v>71</v>
      </c>
      <c r="D223" s="14" t="s">
        <v>73</v>
      </c>
      <c r="E223" s="14" t="s">
        <v>101</v>
      </c>
      <c r="F223" s="34">
        <v>40908</v>
      </c>
      <c r="G223" s="15">
        <v>1</v>
      </c>
      <c r="H223" s="46">
        <v>888500</v>
      </c>
      <c r="I223" s="46">
        <v>354272</v>
      </c>
      <c r="J223" s="46">
        <v>11106</v>
      </c>
      <c r="K223" s="20"/>
      <c r="L223" s="71"/>
      <c r="M223" s="21"/>
      <c r="N223" s="51" t="s">
        <v>102</v>
      </c>
    </row>
    <row r="224" spans="2:14" ht="27.75" customHeight="1" thickBot="1">
      <c r="B224" s="24">
        <v>74</v>
      </c>
      <c r="C224" s="8" t="s">
        <v>59</v>
      </c>
      <c r="D224" s="14" t="s">
        <v>73</v>
      </c>
      <c r="E224" s="14" t="s">
        <v>101</v>
      </c>
      <c r="F224" s="34">
        <v>40908</v>
      </c>
      <c r="G224" s="15">
        <v>1</v>
      </c>
      <c r="H224" s="46">
        <v>109519</v>
      </c>
      <c r="I224" s="46">
        <v>43239</v>
      </c>
      <c r="J224" s="46">
        <v>1368</v>
      </c>
      <c r="K224" s="20"/>
      <c r="L224" s="71"/>
      <c r="M224" s="21"/>
      <c r="N224" s="51" t="s">
        <v>102</v>
      </c>
    </row>
    <row r="225" spans="2:14" ht="27.75" customHeight="1" thickBot="1">
      <c r="B225" s="24">
        <v>75</v>
      </c>
      <c r="C225" s="8" t="s">
        <v>59</v>
      </c>
      <c r="D225" s="14" t="s">
        <v>73</v>
      </c>
      <c r="E225" s="14" t="s">
        <v>101</v>
      </c>
      <c r="F225" s="34">
        <v>40908</v>
      </c>
      <c r="G225" s="15">
        <v>1</v>
      </c>
      <c r="H225" s="46">
        <v>145193</v>
      </c>
      <c r="I225" s="46">
        <v>57324</v>
      </c>
      <c r="J225" s="46">
        <v>1814</v>
      </c>
      <c r="K225" s="20"/>
      <c r="L225" s="71"/>
      <c r="M225" s="21"/>
      <c r="N225" s="51" t="s">
        <v>102</v>
      </c>
    </row>
    <row r="226" spans="2:14" ht="27.75" customHeight="1" thickBot="1">
      <c r="B226" s="24">
        <v>76</v>
      </c>
      <c r="C226" s="8" t="s">
        <v>59</v>
      </c>
      <c r="D226" s="14" t="s">
        <v>73</v>
      </c>
      <c r="E226" s="14" t="s">
        <v>101</v>
      </c>
      <c r="F226" s="34">
        <v>40908</v>
      </c>
      <c r="G226" s="15">
        <v>1</v>
      </c>
      <c r="H226" s="46">
        <v>1723143</v>
      </c>
      <c r="I226" s="46">
        <v>743082</v>
      </c>
      <c r="J226" s="46">
        <v>21539</v>
      </c>
      <c r="K226" s="20"/>
      <c r="L226" s="71"/>
      <c r="M226" s="21"/>
      <c r="N226" s="51" t="s">
        <v>102</v>
      </c>
    </row>
    <row r="227" spans="2:14" ht="27.75" customHeight="1" thickBot="1">
      <c r="B227" s="24">
        <v>77</v>
      </c>
      <c r="C227" s="8" t="s">
        <v>42</v>
      </c>
      <c r="D227" s="14" t="s">
        <v>73</v>
      </c>
      <c r="E227" s="14" t="s">
        <v>101</v>
      </c>
      <c r="F227" s="34">
        <v>41639</v>
      </c>
      <c r="G227" s="15">
        <v>1</v>
      </c>
      <c r="H227" s="46">
        <v>12090</v>
      </c>
      <c r="I227" s="46">
        <v>4131</v>
      </c>
      <c r="J227" s="46">
        <v>90</v>
      </c>
      <c r="K227" s="20"/>
      <c r="L227" s="71"/>
      <c r="M227" s="21"/>
      <c r="N227" s="51" t="s">
        <v>102</v>
      </c>
    </row>
    <row r="228" spans="2:14" ht="27.75" customHeight="1" thickBot="1">
      <c r="B228" s="24">
        <v>78</v>
      </c>
      <c r="C228" s="8" t="s">
        <v>42</v>
      </c>
      <c r="D228" s="14" t="s">
        <v>73</v>
      </c>
      <c r="E228" s="14" t="s">
        <v>101</v>
      </c>
      <c r="F228" s="34">
        <v>41639</v>
      </c>
      <c r="G228" s="15">
        <v>1</v>
      </c>
      <c r="H228" s="46">
        <v>12090</v>
      </c>
      <c r="I228" s="46">
        <v>4131</v>
      </c>
      <c r="J228" s="46">
        <v>90</v>
      </c>
      <c r="K228" s="20"/>
      <c r="L228" s="71"/>
      <c r="M228" s="21"/>
      <c r="N228" s="51" t="s">
        <v>102</v>
      </c>
    </row>
    <row r="229" spans="2:14" ht="27.75" customHeight="1" thickBot="1">
      <c r="B229" s="24">
        <v>79</v>
      </c>
      <c r="C229" s="8" t="s">
        <v>42</v>
      </c>
      <c r="D229" s="14" t="s">
        <v>73</v>
      </c>
      <c r="E229" s="14" t="s">
        <v>101</v>
      </c>
      <c r="F229" s="34">
        <v>42004</v>
      </c>
      <c r="G229" s="15">
        <v>1</v>
      </c>
      <c r="H229" s="46">
        <v>234507</v>
      </c>
      <c r="I229" s="46">
        <v>84895</v>
      </c>
      <c r="J229" s="46">
        <v>1758</v>
      </c>
      <c r="K229" s="20"/>
      <c r="L229" s="71"/>
      <c r="M229" s="21"/>
      <c r="N229" s="51" t="s">
        <v>102</v>
      </c>
    </row>
    <row r="230" spans="2:14" ht="34.5" customHeight="1" thickBot="1">
      <c r="B230" s="24">
        <v>80</v>
      </c>
      <c r="C230" s="8" t="s">
        <v>42</v>
      </c>
      <c r="D230" s="14" t="s">
        <v>73</v>
      </c>
      <c r="E230" s="14" t="s">
        <v>101</v>
      </c>
      <c r="F230" s="34">
        <v>43199</v>
      </c>
      <c r="G230" s="15">
        <v>1</v>
      </c>
      <c r="H230" s="46">
        <v>38781</v>
      </c>
      <c r="I230" s="46">
        <v>5042</v>
      </c>
      <c r="J230" s="46">
        <v>290</v>
      </c>
      <c r="K230" s="20"/>
      <c r="L230" s="71"/>
      <c r="M230" s="21"/>
      <c r="N230" s="51" t="s">
        <v>102</v>
      </c>
    </row>
    <row r="231" spans="2:14" ht="36.75" customHeight="1" thickBot="1">
      <c r="B231" s="24">
        <v>81</v>
      </c>
      <c r="C231" s="8" t="s">
        <v>42</v>
      </c>
      <c r="D231" s="14" t="s">
        <v>73</v>
      </c>
      <c r="E231" s="14" t="s">
        <v>101</v>
      </c>
      <c r="F231" s="34">
        <v>43199</v>
      </c>
      <c r="G231" s="15">
        <v>1</v>
      </c>
      <c r="H231" s="46">
        <v>542068</v>
      </c>
      <c r="I231" s="46">
        <v>186881</v>
      </c>
      <c r="J231" s="46">
        <v>6775</v>
      </c>
      <c r="K231" s="20"/>
      <c r="L231" s="71"/>
      <c r="M231" s="21"/>
      <c r="N231" s="51" t="s">
        <v>102</v>
      </c>
    </row>
    <row r="232" spans="2:14" ht="31.5" customHeight="1" thickBot="1">
      <c r="B232" s="24">
        <v>82</v>
      </c>
      <c r="C232" s="8" t="s">
        <v>42</v>
      </c>
      <c r="D232" s="14" t="s">
        <v>73</v>
      </c>
      <c r="E232" s="14" t="s">
        <v>101</v>
      </c>
      <c r="F232" s="34">
        <v>44518</v>
      </c>
      <c r="G232" s="15">
        <v>1</v>
      </c>
      <c r="H232" s="46">
        <v>3329963</v>
      </c>
      <c r="I232" s="46">
        <v>1249890</v>
      </c>
      <c r="J232" s="46">
        <v>41624</v>
      </c>
      <c r="K232" s="20"/>
      <c r="L232" s="71"/>
      <c r="M232" s="21"/>
      <c r="N232" s="51" t="s">
        <v>102</v>
      </c>
    </row>
    <row r="233" spans="2:14" ht="27.75" customHeight="1" thickBot="1">
      <c r="B233" s="24">
        <v>83</v>
      </c>
      <c r="C233" s="8" t="s">
        <v>42</v>
      </c>
      <c r="D233" s="14" t="s">
        <v>73</v>
      </c>
      <c r="E233" s="14" t="s">
        <v>101</v>
      </c>
      <c r="F233" s="34">
        <v>44518</v>
      </c>
      <c r="G233" s="15">
        <v>1</v>
      </c>
      <c r="H233" s="46">
        <v>35483</v>
      </c>
      <c r="I233" s="46"/>
      <c r="J233" s="46">
        <v>443</v>
      </c>
      <c r="K233" s="20"/>
      <c r="L233" s="71"/>
      <c r="M233" s="21"/>
      <c r="N233" s="51" t="s">
        <v>102</v>
      </c>
    </row>
    <row r="234" spans="2:14" ht="27.75" customHeight="1" thickBot="1">
      <c r="B234" s="24">
        <v>84</v>
      </c>
      <c r="C234" s="8" t="s">
        <v>42</v>
      </c>
      <c r="D234" s="14" t="s">
        <v>73</v>
      </c>
      <c r="E234" s="14" t="s">
        <v>103</v>
      </c>
      <c r="F234" s="34">
        <v>22463</v>
      </c>
      <c r="G234" s="15">
        <v>1</v>
      </c>
      <c r="H234" s="46">
        <v>2732154</v>
      </c>
      <c r="I234" s="46">
        <v>86680</v>
      </c>
      <c r="J234" s="46">
        <v>20491</v>
      </c>
      <c r="K234" s="20"/>
      <c r="L234" s="71"/>
      <c r="M234" s="21"/>
      <c r="N234" s="51" t="s">
        <v>102</v>
      </c>
    </row>
    <row r="235" spans="2:14" ht="27.75" customHeight="1" thickBot="1">
      <c r="B235" s="24">
        <v>85</v>
      </c>
      <c r="C235" s="8" t="s">
        <v>42</v>
      </c>
      <c r="D235" s="14" t="s">
        <v>73</v>
      </c>
      <c r="E235" s="14" t="s">
        <v>103</v>
      </c>
      <c r="F235" s="34">
        <v>33390</v>
      </c>
      <c r="G235" s="15">
        <v>1</v>
      </c>
      <c r="H235" s="46">
        <v>83737</v>
      </c>
      <c r="I235" s="46">
        <v>15451</v>
      </c>
      <c r="J235" s="46"/>
      <c r="K235" s="20"/>
      <c r="L235" s="71"/>
      <c r="M235" s="21"/>
      <c r="N235" s="51" t="s">
        <v>102</v>
      </c>
    </row>
    <row r="236" spans="2:14" ht="16.5" thickBot="1">
      <c r="B236" s="24">
        <v>86</v>
      </c>
      <c r="C236" s="8" t="s">
        <v>42</v>
      </c>
      <c r="D236" s="14" t="s">
        <v>114</v>
      </c>
      <c r="E236" s="14" t="s">
        <v>104</v>
      </c>
      <c r="F236" s="34">
        <v>17533</v>
      </c>
      <c r="G236" s="15">
        <v>31</v>
      </c>
      <c r="H236" s="46">
        <f>742759785.602439/1000</f>
        <v>742759.78560243908</v>
      </c>
      <c r="I236" s="46">
        <f>70504451.86/1000</f>
        <v>70504.451860000001</v>
      </c>
      <c r="J236" s="71">
        <v>5570.6983920182929</v>
      </c>
      <c r="K236" s="20"/>
      <c r="L236" s="71"/>
      <c r="M236" s="21"/>
      <c r="N236" s="52" t="s">
        <v>105</v>
      </c>
    </row>
    <row r="237" spans="2:14" ht="16.5" thickBot="1">
      <c r="B237" s="24">
        <v>87</v>
      </c>
      <c r="C237" s="8" t="s">
        <v>42</v>
      </c>
      <c r="D237" s="14" t="s">
        <v>115</v>
      </c>
      <c r="E237" s="14" t="s">
        <v>106</v>
      </c>
      <c r="F237" s="34">
        <v>31199</v>
      </c>
      <c r="G237" s="15">
        <v>1</v>
      </c>
      <c r="H237" s="46">
        <f>17712.4133051795/1000</f>
        <v>17.712413305179499</v>
      </c>
      <c r="I237" s="46">
        <f>452.11/1000</f>
        <v>0.45211000000000001</v>
      </c>
      <c r="J237" s="46"/>
      <c r="K237" s="20"/>
      <c r="L237" s="71"/>
      <c r="M237" s="21"/>
      <c r="N237" s="43" t="s">
        <v>105</v>
      </c>
    </row>
    <row r="238" spans="2:14" ht="60.75" customHeight="1" thickBot="1">
      <c r="B238" s="24">
        <v>88</v>
      </c>
      <c r="C238" s="8" t="s">
        <v>113</v>
      </c>
      <c r="D238" s="14" t="s">
        <v>115</v>
      </c>
      <c r="E238" s="14" t="s">
        <v>107</v>
      </c>
      <c r="F238" s="34">
        <v>25173</v>
      </c>
      <c r="G238" s="15">
        <v>1</v>
      </c>
      <c r="H238" s="46">
        <f>96343667.8842559/1000</f>
        <v>96343.667884255905</v>
      </c>
      <c r="I238" s="46"/>
      <c r="J238" s="46"/>
      <c r="K238" s="20"/>
      <c r="L238" s="71"/>
      <c r="M238" s="21"/>
      <c r="N238" s="43" t="s">
        <v>105</v>
      </c>
    </row>
    <row r="239" spans="2:14" s="44" customFormat="1" ht="47.25" customHeight="1" thickBot="1">
      <c r="B239" s="24">
        <v>89</v>
      </c>
      <c r="C239" s="8" t="s">
        <v>42</v>
      </c>
      <c r="D239" s="14" t="s">
        <v>116</v>
      </c>
      <c r="E239" s="14" t="s">
        <v>110</v>
      </c>
      <c r="F239" s="34">
        <v>15707</v>
      </c>
      <c r="G239" s="15">
        <v>49</v>
      </c>
      <c r="H239" s="46">
        <v>2837117.9088099999</v>
      </c>
      <c r="I239" s="46">
        <v>775177.83065999998</v>
      </c>
      <c r="J239" s="46">
        <v>21278.384316075</v>
      </c>
      <c r="K239" s="20"/>
      <c r="L239" s="71"/>
      <c r="M239" s="55"/>
      <c r="N239" s="53" t="s">
        <v>111</v>
      </c>
    </row>
    <row r="240" spans="2:14" s="44" customFormat="1" ht="47.25" customHeight="1" thickBot="1">
      <c r="B240" s="24">
        <v>90</v>
      </c>
      <c r="C240" s="8" t="s">
        <v>42</v>
      </c>
      <c r="D240" s="14" t="s">
        <v>116</v>
      </c>
      <c r="E240" s="14" t="s">
        <v>108</v>
      </c>
      <c r="F240" s="34">
        <v>41453</v>
      </c>
      <c r="G240" s="15">
        <v>1</v>
      </c>
      <c r="H240" s="46">
        <v>727689.21742999996</v>
      </c>
      <c r="I240" s="46">
        <v>88704.36997</v>
      </c>
      <c r="J240" s="46">
        <v>34561.858261499998</v>
      </c>
      <c r="K240" s="20"/>
      <c r="L240" s="71"/>
      <c r="M240" s="55"/>
      <c r="N240" s="45" t="s">
        <v>111</v>
      </c>
    </row>
    <row r="241" spans="2:14" s="44" customFormat="1" ht="47.25" customHeight="1" thickBot="1">
      <c r="B241" s="24">
        <v>91</v>
      </c>
      <c r="C241" s="8" t="s">
        <v>42</v>
      </c>
      <c r="D241" s="14" t="s">
        <v>116</v>
      </c>
      <c r="E241" s="14" t="s">
        <v>109</v>
      </c>
      <c r="F241" s="34">
        <v>43035</v>
      </c>
      <c r="G241" s="15">
        <v>1</v>
      </c>
      <c r="H241" s="46">
        <v>4608247.7681999998</v>
      </c>
      <c r="I241" s="46">
        <v>1043409.38563</v>
      </c>
      <c r="J241" s="46">
        <v>34561.858261499998</v>
      </c>
      <c r="K241" s="20"/>
      <c r="L241" s="71"/>
      <c r="M241" s="55"/>
      <c r="N241" s="45" t="s">
        <v>111</v>
      </c>
    </row>
    <row r="242" spans="2:14" ht="19.5" customHeight="1">
      <c r="B242" s="24">
        <v>92</v>
      </c>
      <c r="C242" s="8" t="s">
        <v>42</v>
      </c>
      <c r="D242" s="14" t="s">
        <v>50</v>
      </c>
      <c r="E242" s="14" t="s">
        <v>131</v>
      </c>
      <c r="F242" s="34">
        <v>42343</v>
      </c>
      <c r="G242" s="15">
        <v>1</v>
      </c>
      <c r="H242" s="46">
        <v>335321</v>
      </c>
      <c r="I242" s="46">
        <v>104856</v>
      </c>
      <c r="J242" s="46">
        <v>2514.9074999999998</v>
      </c>
      <c r="K242" s="20"/>
      <c r="L242" s="71"/>
      <c r="M242" s="61"/>
      <c r="N242" s="7" t="s">
        <v>132</v>
      </c>
    </row>
    <row r="243" spans="2:14" ht="15.75">
      <c r="B243" s="24">
        <v>93</v>
      </c>
      <c r="C243" s="8" t="s">
        <v>42</v>
      </c>
      <c r="D243" s="14" t="s">
        <v>50</v>
      </c>
      <c r="E243" s="14" t="s">
        <v>131</v>
      </c>
      <c r="F243" s="34">
        <v>44255</v>
      </c>
      <c r="G243" s="15">
        <v>1</v>
      </c>
      <c r="H243" s="46">
        <v>474590</v>
      </c>
      <c r="I243" s="46">
        <v>133332</v>
      </c>
      <c r="J243" s="46">
        <v>3559.4249999999997</v>
      </c>
      <c r="K243" s="20"/>
      <c r="L243" s="71"/>
      <c r="M243" s="61"/>
      <c r="N243" s="7" t="s">
        <v>132</v>
      </c>
    </row>
    <row r="244" spans="2:14" ht="15.75">
      <c r="B244" s="24">
        <v>94</v>
      </c>
      <c r="C244" s="8" t="s">
        <v>42</v>
      </c>
      <c r="D244" s="14" t="s">
        <v>50</v>
      </c>
      <c r="E244" s="14" t="s">
        <v>131</v>
      </c>
      <c r="F244" s="34">
        <v>44255</v>
      </c>
      <c r="G244" s="15">
        <v>1</v>
      </c>
      <c r="H244" s="46">
        <v>61780</v>
      </c>
      <c r="I244" s="46">
        <v>11322</v>
      </c>
      <c r="J244" s="46">
        <v>463.34999999999997</v>
      </c>
      <c r="K244" s="20"/>
      <c r="L244" s="71"/>
      <c r="M244" s="21"/>
      <c r="N244" s="7" t="s">
        <v>132</v>
      </c>
    </row>
    <row r="245" spans="2:14" s="12" customFormat="1" ht="18" customHeight="1">
      <c r="B245" s="24">
        <v>95</v>
      </c>
      <c r="C245" s="8" t="s">
        <v>65</v>
      </c>
      <c r="D245" s="14" t="s">
        <v>50</v>
      </c>
      <c r="E245" s="14" t="s">
        <v>131</v>
      </c>
      <c r="F245" s="34">
        <v>42735</v>
      </c>
      <c r="G245" s="15">
        <v>1</v>
      </c>
      <c r="H245" s="46">
        <v>395941.79</v>
      </c>
      <c r="I245" s="46">
        <v>110868.53</v>
      </c>
      <c r="J245" s="46">
        <v>2969.5634249999998</v>
      </c>
      <c r="K245" s="20"/>
      <c r="L245" s="71"/>
      <c r="M245" s="17"/>
      <c r="N245" s="13" t="s">
        <v>133</v>
      </c>
    </row>
    <row r="246" spans="2:14" s="12" customFormat="1" ht="18" customHeight="1">
      <c r="B246" s="24">
        <v>96</v>
      </c>
      <c r="C246" s="8" t="s">
        <v>65</v>
      </c>
      <c r="D246" s="14" t="s">
        <v>50</v>
      </c>
      <c r="E246" s="14" t="s">
        <v>131</v>
      </c>
      <c r="F246" s="34">
        <v>42735</v>
      </c>
      <c r="G246" s="15">
        <v>1</v>
      </c>
      <c r="H246" s="46">
        <v>395941.79</v>
      </c>
      <c r="I246" s="46">
        <v>110868.53</v>
      </c>
      <c r="J246" s="46">
        <v>2969.5634249999998</v>
      </c>
      <c r="K246" s="20"/>
      <c r="L246" s="71"/>
      <c r="M246" s="17"/>
      <c r="N246" s="13" t="s">
        <v>133</v>
      </c>
    </row>
    <row r="247" spans="2:14" s="12" customFormat="1" ht="18" customHeight="1">
      <c r="B247" s="24">
        <v>97</v>
      </c>
      <c r="C247" s="8" t="s">
        <v>65</v>
      </c>
      <c r="D247" s="14" t="s">
        <v>50</v>
      </c>
      <c r="E247" s="14" t="s">
        <v>131</v>
      </c>
      <c r="F247" s="34">
        <v>42735</v>
      </c>
      <c r="G247" s="15">
        <v>1</v>
      </c>
      <c r="H247" s="46">
        <v>395941.79</v>
      </c>
      <c r="I247" s="46">
        <v>110868.53</v>
      </c>
      <c r="J247" s="46">
        <v>2969.5634249999998</v>
      </c>
      <c r="K247" s="20"/>
      <c r="L247" s="71"/>
      <c r="M247" s="17"/>
      <c r="N247" s="13" t="s">
        <v>133</v>
      </c>
    </row>
    <row r="248" spans="2:14" s="12" customFormat="1" ht="18" customHeight="1">
      <c r="B248" s="24">
        <v>98</v>
      </c>
      <c r="C248" s="8" t="s">
        <v>65</v>
      </c>
      <c r="D248" s="14" t="s">
        <v>50</v>
      </c>
      <c r="E248" s="14" t="s">
        <v>131</v>
      </c>
      <c r="F248" s="34">
        <v>42735</v>
      </c>
      <c r="G248" s="15">
        <v>1</v>
      </c>
      <c r="H248" s="46">
        <v>395941.79</v>
      </c>
      <c r="I248" s="46">
        <v>110868.53</v>
      </c>
      <c r="J248" s="46">
        <v>2969.5634249999998</v>
      </c>
      <c r="K248" s="20"/>
      <c r="L248" s="71"/>
      <c r="M248" s="17"/>
      <c r="N248" s="13" t="s">
        <v>133</v>
      </c>
    </row>
    <row r="249" spans="2:14" s="12" customFormat="1" ht="18" customHeight="1">
      <c r="B249" s="24">
        <v>99</v>
      </c>
      <c r="C249" s="8" t="s">
        <v>70</v>
      </c>
      <c r="D249" s="14" t="s">
        <v>50</v>
      </c>
      <c r="E249" s="14" t="s">
        <v>131</v>
      </c>
      <c r="F249" s="34">
        <v>39838</v>
      </c>
      <c r="G249" s="15">
        <v>1</v>
      </c>
      <c r="H249" s="46">
        <v>13256.5</v>
      </c>
      <c r="I249" s="46">
        <v>2247.88</v>
      </c>
      <c r="J249" s="46">
        <v>99.423749999999998</v>
      </c>
      <c r="K249" s="20"/>
      <c r="L249" s="71"/>
      <c r="M249" s="17"/>
      <c r="N249" s="13" t="s">
        <v>133</v>
      </c>
    </row>
    <row r="250" spans="2:14" ht="15.75">
      <c r="B250" s="24">
        <v>100</v>
      </c>
      <c r="C250" s="8" t="s">
        <v>42</v>
      </c>
      <c r="D250" s="14" t="s">
        <v>50</v>
      </c>
      <c r="E250" s="14" t="s">
        <v>131</v>
      </c>
      <c r="F250" s="34">
        <v>32172</v>
      </c>
      <c r="G250" s="15">
        <v>1</v>
      </c>
      <c r="H250" s="46">
        <f>14221665.12/1000</f>
        <v>14221.66512</v>
      </c>
      <c r="I250" s="46">
        <f>2655975.52/1000</f>
        <v>2655.97552</v>
      </c>
      <c r="J250" s="46">
        <v>106.66248839999997</v>
      </c>
      <c r="K250" s="20"/>
      <c r="L250" s="71"/>
      <c r="M250" s="21"/>
      <c r="N250" s="21" t="s">
        <v>134</v>
      </c>
    </row>
    <row r="251" spans="2:14" ht="15.75">
      <c r="B251" s="24">
        <v>101</v>
      </c>
      <c r="C251" s="8" t="s">
        <v>42</v>
      </c>
      <c r="D251" s="14" t="s">
        <v>50</v>
      </c>
      <c r="E251" s="14" t="s">
        <v>131</v>
      </c>
      <c r="F251" s="34">
        <v>33664</v>
      </c>
      <c r="G251" s="15">
        <v>1</v>
      </c>
      <c r="H251" s="46">
        <f>3707728.07/1000</f>
        <v>3707.7280699999997</v>
      </c>
      <c r="I251" s="46">
        <f>887033.55/1000</f>
        <v>887.03354999999999</v>
      </c>
      <c r="J251" s="46">
        <v>27.807960524999999</v>
      </c>
      <c r="K251" s="20"/>
      <c r="L251" s="71"/>
      <c r="M251" s="21"/>
      <c r="N251" s="21" t="s">
        <v>134</v>
      </c>
    </row>
    <row r="252" spans="2:14" ht="15.75">
      <c r="B252" s="24">
        <v>102</v>
      </c>
      <c r="C252" s="8" t="s">
        <v>42</v>
      </c>
      <c r="D252" s="14" t="s">
        <v>50</v>
      </c>
      <c r="E252" s="14" t="s">
        <v>131</v>
      </c>
      <c r="F252" s="34">
        <v>41090</v>
      </c>
      <c r="G252" s="15">
        <v>1</v>
      </c>
      <c r="H252" s="46">
        <f>93178581.37/1000</f>
        <v>93178.58137</v>
      </c>
      <c r="I252" s="46">
        <f>36590499.76/1000</f>
        <v>36590.499759999999</v>
      </c>
      <c r="J252" s="46">
        <v>698.83936027499999</v>
      </c>
      <c r="K252" s="20"/>
      <c r="L252" s="71"/>
      <c r="M252" s="21"/>
      <c r="N252" s="21" t="s">
        <v>134</v>
      </c>
    </row>
    <row r="253" spans="2:14" ht="15.75">
      <c r="B253" s="24">
        <v>103</v>
      </c>
      <c r="C253" s="8" t="s">
        <v>42</v>
      </c>
      <c r="D253" s="14" t="s">
        <v>50</v>
      </c>
      <c r="E253" s="14" t="s">
        <v>131</v>
      </c>
      <c r="F253" s="34">
        <v>41090</v>
      </c>
      <c r="G253" s="15">
        <v>1</v>
      </c>
      <c r="H253" s="46">
        <f>23294645.34/1000</f>
        <v>23294.645339999999</v>
      </c>
      <c r="I253" s="46">
        <f>9147624.97/1000</f>
        <v>9147.6249700000008</v>
      </c>
      <c r="J253" s="46">
        <v>174.70984005</v>
      </c>
      <c r="K253" s="20"/>
      <c r="L253" s="71"/>
      <c r="M253" s="21"/>
      <c r="N253" s="21" t="s">
        <v>134</v>
      </c>
    </row>
    <row r="254" spans="2:14" ht="15.75">
      <c r="B254" s="24">
        <v>104</v>
      </c>
      <c r="C254" s="8" t="s">
        <v>42</v>
      </c>
      <c r="D254" s="14" t="s">
        <v>50</v>
      </c>
      <c r="E254" s="14" t="s">
        <v>131</v>
      </c>
      <c r="F254" s="34">
        <v>41090</v>
      </c>
      <c r="G254" s="15">
        <v>1</v>
      </c>
      <c r="H254" s="46">
        <f>53771806.33/1000</f>
        <v>53771.806329999999</v>
      </c>
      <c r="I254" s="46">
        <f>21115767.53/1000</f>
        <v>21115.767530000001</v>
      </c>
      <c r="J254" s="46">
        <v>403.28854747499997</v>
      </c>
      <c r="K254" s="20"/>
      <c r="L254" s="71"/>
      <c r="M254" s="21"/>
      <c r="N254" s="21" t="s">
        <v>134</v>
      </c>
    </row>
    <row r="255" spans="2:14" ht="15.75">
      <c r="B255" s="24">
        <v>105</v>
      </c>
      <c r="C255" s="8" t="s">
        <v>42</v>
      </c>
      <c r="D255" s="14" t="s">
        <v>50</v>
      </c>
      <c r="E255" s="14" t="s">
        <v>131</v>
      </c>
      <c r="F255" s="34">
        <v>41090</v>
      </c>
      <c r="G255" s="15">
        <v>1</v>
      </c>
      <c r="H255" s="46">
        <f>966727781.67/1000</f>
        <v>966727.78166999994</v>
      </c>
      <c r="I255" s="46">
        <f>379626434.85/1000</f>
        <v>379626.43485000002</v>
      </c>
      <c r="J255" s="46">
        <v>7250.4583625249979</v>
      </c>
      <c r="K255" s="20"/>
      <c r="L255" s="71"/>
      <c r="M255" s="21"/>
      <c r="N255" s="21" t="s">
        <v>134</v>
      </c>
    </row>
    <row r="256" spans="2:14" ht="15.75">
      <c r="B256" s="24">
        <v>106</v>
      </c>
      <c r="C256" s="8" t="s">
        <v>42</v>
      </c>
      <c r="D256" s="14" t="s">
        <v>50</v>
      </c>
      <c r="E256" s="14" t="s">
        <v>131</v>
      </c>
      <c r="F256" s="34">
        <v>42369</v>
      </c>
      <c r="G256" s="15">
        <v>1</v>
      </c>
      <c r="H256" s="46">
        <f>1774945974.73/1000</f>
        <v>1774945.9747300001</v>
      </c>
      <c r="I256" s="46">
        <f>543227352/1000</f>
        <v>543227.35199999996</v>
      </c>
      <c r="J256" s="46">
        <v>13312.094810474999</v>
      </c>
      <c r="K256" s="20"/>
      <c r="L256" s="71"/>
      <c r="M256" s="21"/>
      <c r="N256" s="21" t="s">
        <v>134</v>
      </c>
    </row>
    <row r="257" spans="2:14" ht="15.75">
      <c r="B257" s="24">
        <v>107</v>
      </c>
      <c r="C257" s="8" t="s">
        <v>42</v>
      </c>
      <c r="D257" s="14" t="s">
        <v>50</v>
      </c>
      <c r="E257" s="14" t="s">
        <v>131</v>
      </c>
      <c r="F257" s="34">
        <v>42735</v>
      </c>
      <c r="G257" s="15">
        <v>1</v>
      </c>
      <c r="H257" s="46">
        <f>395941791.93/1000</f>
        <v>395941.79193000001</v>
      </c>
      <c r="I257" s="46">
        <f>110868534.17/1000</f>
        <v>110868.53417</v>
      </c>
      <c r="J257" s="46">
        <v>2969.563439475</v>
      </c>
      <c r="K257" s="20"/>
      <c r="L257" s="71"/>
      <c r="M257" s="21"/>
      <c r="N257" s="21" t="s">
        <v>134</v>
      </c>
    </row>
    <row r="258" spans="2:14" ht="15.75">
      <c r="B258" s="24">
        <v>108</v>
      </c>
      <c r="C258" s="8" t="s">
        <v>42</v>
      </c>
      <c r="D258" s="14" t="s">
        <v>50</v>
      </c>
      <c r="E258" s="14" t="s">
        <v>131</v>
      </c>
      <c r="F258" s="34">
        <v>42735</v>
      </c>
      <c r="G258" s="15">
        <v>1</v>
      </c>
      <c r="H258" s="46">
        <f>395941791.93/1000</f>
        <v>395941.79193000001</v>
      </c>
      <c r="I258" s="46">
        <f>110868534.17/1000</f>
        <v>110868.53417</v>
      </c>
      <c r="J258" s="46">
        <v>2969.563439475</v>
      </c>
      <c r="K258" s="20"/>
      <c r="L258" s="71"/>
      <c r="M258" s="21"/>
      <c r="N258" s="21" t="s">
        <v>134</v>
      </c>
    </row>
    <row r="259" spans="2:14" ht="15.75">
      <c r="B259" s="24">
        <v>109</v>
      </c>
      <c r="C259" s="8" t="s">
        <v>42</v>
      </c>
      <c r="D259" s="14" t="s">
        <v>50</v>
      </c>
      <c r="E259" s="14" t="s">
        <v>131</v>
      </c>
      <c r="F259" s="34">
        <v>42735</v>
      </c>
      <c r="G259" s="15">
        <v>1</v>
      </c>
      <c r="H259" s="46">
        <f>395941791.93/1000</f>
        <v>395941.79193000001</v>
      </c>
      <c r="I259" s="46">
        <f>110868534.17/1000</f>
        <v>110868.53417</v>
      </c>
      <c r="J259" s="46">
        <v>2969.563439475</v>
      </c>
      <c r="K259" s="20"/>
      <c r="L259" s="71"/>
      <c r="M259" s="21"/>
      <c r="N259" s="21" t="s">
        <v>134</v>
      </c>
    </row>
    <row r="260" spans="2:14" ht="15.75">
      <c r="B260" s="24">
        <v>110</v>
      </c>
      <c r="C260" s="8" t="s">
        <v>42</v>
      </c>
      <c r="D260" s="14" t="s">
        <v>50</v>
      </c>
      <c r="E260" s="14" t="s">
        <v>131</v>
      </c>
      <c r="F260" s="34">
        <v>42825</v>
      </c>
      <c r="G260" s="15">
        <v>1</v>
      </c>
      <c r="H260" s="46">
        <f>289341721.47/1000</f>
        <v>289341.72147000005</v>
      </c>
      <c r="I260" s="46">
        <f>81288184.09/1000</f>
        <v>81288.18409000001</v>
      </c>
      <c r="J260" s="46">
        <v>2170.0629110250002</v>
      </c>
      <c r="K260" s="20"/>
      <c r="L260" s="71"/>
      <c r="M260" s="21"/>
      <c r="N260" s="21" t="s">
        <v>134</v>
      </c>
    </row>
    <row r="261" spans="2:14" ht="15.75">
      <c r="B261" s="24">
        <v>111</v>
      </c>
      <c r="C261" s="8" t="s">
        <v>42</v>
      </c>
      <c r="D261" s="14" t="s">
        <v>50</v>
      </c>
      <c r="E261" s="14" t="s">
        <v>131</v>
      </c>
      <c r="F261" s="34">
        <v>42825</v>
      </c>
      <c r="G261" s="15">
        <v>1</v>
      </c>
      <c r="H261" s="46">
        <f>94129986.9/1000</f>
        <v>94129.986900000004</v>
      </c>
      <c r="I261" s="46">
        <f>43911065.55/1000</f>
        <v>43911.065549999999</v>
      </c>
      <c r="J261" s="46">
        <v>705.97490174999996</v>
      </c>
      <c r="K261" s="20"/>
      <c r="L261" s="71"/>
      <c r="M261" s="21"/>
      <c r="N261" s="21" t="s">
        <v>134</v>
      </c>
    </row>
    <row r="262" spans="2:14" ht="15.75">
      <c r="B262" s="24">
        <v>112</v>
      </c>
      <c r="C262" s="8" t="s">
        <v>42</v>
      </c>
      <c r="D262" s="14" t="s">
        <v>50</v>
      </c>
      <c r="E262" s="14" t="s">
        <v>131</v>
      </c>
      <c r="F262" s="34">
        <v>42825</v>
      </c>
      <c r="G262" s="15">
        <v>1</v>
      </c>
      <c r="H262" s="46">
        <f>592436826.92/1000</f>
        <v>592436.8269199999</v>
      </c>
      <c r="I262" s="46">
        <f>166440268.61/1000</f>
        <v>166440.26861000003</v>
      </c>
      <c r="J262" s="46">
        <v>4443.2762018999993</v>
      </c>
      <c r="K262" s="20"/>
      <c r="L262" s="71"/>
      <c r="M262" s="21"/>
      <c r="N262" s="21" t="s">
        <v>134</v>
      </c>
    </row>
    <row r="263" spans="2:14" ht="15.75">
      <c r="B263" s="24">
        <v>113</v>
      </c>
      <c r="C263" s="8" t="s">
        <v>42</v>
      </c>
      <c r="D263" s="14" t="s">
        <v>50</v>
      </c>
      <c r="E263" s="14" t="s">
        <v>131</v>
      </c>
      <c r="F263" s="34">
        <v>44074</v>
      </c>
      <c r="G263" s="15">
        <v>1</v>
      </c>
      <c r="H263" s="46">
        <f>41016525/1000</f>
        <v>41016.525000000001</v>
      </c>
      <c r="I263" s="46"/>
      <c r="J263" s="46">
        <v>307.62393750000001</v>
      </c>
      <c r="K263" s="20"/>
      <c r="L263" s="71"/>
      <c r="M263" s="21"/>
      <c r="N263" s="21" t="s">
        <v>134</v>
      </c>
    </row>
    <row r="264" spans="2:14" ht="15.75">
      <c r="B264" s="24">
        <v>114</v>
      </c>
      <c r="C264" s="8" t="s">
        <v>42</v>
      </c>
      <c r="D264" s="14" t="s">
        <v>50</v>
      </c>
      <c r="E264" s="14" t="s">
        <v>131</v>
      </c>
      <c r="F264" s="34">
        <v>29587</v>
      </c>
      <c r="G264" s="15">
        <v>1</v>
      </c>
      <c r="H264" s="46">
        <f>4183243.89/1000</f>
        <v>4183.2438899999997</v>
      </c>
      <c r="I264" s="46">
        <f>474534.1/1000</f>
        <v>474.53409999999997</v>
      </c>
      <c r="J264" s="46">
        <v>31.374329174999993</v>
      </c>
      <c r="K264" s="20"/>
      <c r="L264" s="71"/>
      <c r="M264" s="21"/>
      <c r="N264" s="21" t="s">
        <v>134</v>
      </c>
    </row>
    <row r="265" spans="2:14" ht="15.75">
      <c r="B265" s="24">
        <v>115</v>
      </c>
      <c r="C265" s="8" t="s">
        <v>42</v>
      </c>
      <c r="D265" s="14" t="s">
        <v>50</v>
      </c>
      <c r="E265" s="14" t="s">
        <v>131</v>
      </c>
      <c r="F265" s="34">
        <v>32172</v>
      </c>
      <c r="G265" s="15">
        <v>1</v>
      </c>
      <c r="H265" s="46">
        <f>53380886.52/1000</f>
        <v>53380.88652</v>
      </c>
      <c r="I265" s="46">
        <f>9784777.47/1000</f>
        <v>9784.7774700000009</v>
      </c>
      <c r="J265" s="46">
        <v>400.35664889999998</v>
      </c>
      <c r="K265" s="20"/>
      <c r="L265" s="71"/>
      <c r="M265" s="21"/>
      <c r="N265" s="21" t="s">
        <v>134</v>
      </c>
    </row>
    <row r="266" spans="2:14" ht="15.75">
      <c r="B266" s="24">
        <v>116</v>
      </c>
      <c r="C266" s="8" t="s">
        <v>42</v>
      </c>
      <c r="D266" s="14" t="s">
        <v>50</v>
      </c>
      <c r="E266" s="14" t="s">
        <v>131</v>
      </c>
      <c r="F266" s="34">
        <v>32962</v>
      </c>
      <c r="G266" s="15">
        <v>1</v>
      </c>
      <c r="H266" s="46">
        <f>1047355.31/1000</f>
        <v>1047.3553100000001</v>
      </c>
      <c r="I266" s="46">
        <f>176686.52/1000</f>
        <v>176.68652</v>
      </c>
      <c r="J266" s="46">
        <v>7.855164825000001</v>
      </c>
      <c r="K266" s="20"/>
      <c r="L266" s="71"/>
      <c r="M266" s="21"/>
      <c r="N266" s="21" t="s">
        <v>134</v>
      </c>
    </row>
    <row r="267" spans="2:14" ht="15.75">
      <c r="B267" s="24">
        <v>117</v>
      </c>
      <c r="C267" s="8" t="s">
        <v>42</v>
      </c>
      <c r="D267" s="14" t="s">
        <v>50</v>
      </c>
      <c r="E267" s="14" t="s">
        <v>131</v>
      </c>
      <c r="F267" s="34">
        <v>32172</v>
      </c>
      <c r="G267" s="15">
        <v>1</v>
      </c>
      <c r="H267" s="46">
        <f>710765.3/1000</f>
        <v>710.76530000000002</v>
      </c>
      <c r="I267" s="46">
        <f>130839.87/1000</f>
        <v>130.83986999999999</v>
      </c>
      <c r="J267" s="46">
        <v>5.3307397500000002</v>
      </c>
      <c r="K267" s="20"/>
      <c r="L267" s="71"/>
      <c r="M267" s="21"/>
      <c r="N267" s="21" t="s">
        <v>134</v>
      </c>
    </row>
    <row r="268" spans="2:14" ht="15.75">
      <c r="B268" s="24">
        <v>118</v>
      </c>
      <c r="C268" s="8" t="s">
        <v>42</v>
      </c>
      <c r="D268" s="14" t="s">
        <v>50</v>
      </c>
      <c r="E268" s="14" t="s">
        <v>131</v>
      </c>
      <c r="F268" s="34">
        <v>32507</v>
      </c>
      <c r="G268" s="15">
        <v>1</v>
      </c>
      <c r="H268" s="46">
        <f>11604008.64/1000</f>
        <v>11604.00864</v>
      </c>
      <c r="I268" s="46">
        <f>2162684.99/1000</f>
        <v>2162.6849900000002</v>
      </c>
      <c r="J268" s="46">
        <v>87.030064799999991</v>
      </c>
      <c r="K268" s="20"/>
      <c r="L268" s="71"/>
      <c r="M268" s="21"/>
      <c r="N268" s="21" t="s">
        <v>134</v>
      </c>
    </row>
    <row r="269" spans="2:14" ht="15.75">
      <c r="B269" s="24">
        <v>119</v>
      </c>
      <c r="C269" s="8" t="s">
        <v>42</v>
      </c>
      <c r="D269" s="14" t="s">
        <v>50</v>
      </c>
      <c r="E269" s="14" t="s">
        <v>131</v>
      </c>
      <c r="F269" s="34">
        <v>32172</v>
      </c>
      <c r="G269" s="15">
        <v>1</v>
      </c>
      <c r="H269" s="46">
        <f>10304770.53/1000</f>
        <v>10304.77053</v>
      </c>
      <c r="I269" s="46">
        <f>2201217.36/1000</f>
        <v>2201.2173599999996</v>
      </c>
      <c r="J269" s="46">
        <v>77.285778974999999</v>
      </c>
      <c r="K269" s="20"/>
      <c r="L269" s="71"/>
      <c r="M269" s="21"/>
      <c r="N269" s="21" t="s">
        <v>134</v>
      </c>
    </row>
    <row r="270" spans="2:14" ht="15.75">
      <c r="B270" s="24">
        <v>120</v>
      </c>
      <c r="C270" s="8" t="s">
        <v>42</v>
      </c>
      <c r="D270" s="14" t="s">
        <v>50</v>
      </c>
      <c r="E270" s="14" t="s">
        <v>131</v>
      </c>
      <c r="F270" s="34">
        <v>32172</v>
      </c>
      <c r="G270" s="15">
        <v>1</v>
      </c>
      <c r="H270" s="46">
        <f>76866967.93/1000</f>
        <v>76866.967930000013</v>
      </c>
      <c r="I270" s="46">
        <f>24355282.98/1000</f>
        <v>24355.28298</v>
      </c>
      <c r="J270" s="46">
        <v>576.50225947500007</v>
      </c>
      <c r="K270" s="20"/>
      <c r="L270" s="71"/>
      <c r="M270" s="21"/>
      <c r="N270" s="21" t="s">
        <v>134</v>
      </c>
    </row>
    <row r="271" spans="2:14" ht="15.75">
      <c r="B271" s="24">
        <v>121</v>
      </c>
      <c r="C271" s="8" t="s">
        <v>42</v>
      </c>
      <c r="D271" s="14" t="s">
        <v>50</v>
      </c>
      <c r="E271" s="14" t="s">
        <v>131</v>
      </c>
      <c r="F271" s="34">
        <v>32172</v>
      </c>
      <c r="G271" s="15">
        <v>1</v>
      </c>
      <c r="H271" s="46">
        <f>2175687.16/1000</f>
        <v>2175.6871599999999</v>
      </c>
      <c r="I271" s="46">
        <f>24666.16/1000</f>
        <v>24.666160000000001</v>
      </c>
      <c r="J271" s="46">
        <v>16.317653699999997</v>
      </c>
      <c r="K271" s="20"/>
      <c r="L271" s="71"/>
      <c r="M271" s="21"/>
      <c r="N271" s="21" t="s">
        <v>134</v>
      </c>
    </row>
    <row r="272" spans="2:14" ht="15.75">
      <c r="B272" s="24">
        <v>122</v>
      </c>
      <c r="C272" s="8" t="s">
        <v>42</v>
      </c>
      <c r="D272" s="14" t="s">
        <v>50</v>
      </c>
      <c r="E272" s="14" t="s">
        <v>131</v>
      </c>
      <c r="F272" s="34">
        <v>32172</v>
      </c>
      <c r="G272" s="15">
        <v>1</v>
      </c>
      <c r="H272" s="46">
        <f>168935.96/1000</f>
        <v>168.93595999999999</v>
      </c>
      <c r="I272" s="46">
        <f>9018.19/1000</f>
        <v>9.0181900000000006</v>
      </c>
      <c r="J272" s="46">
        <v>1.2670196999999999</v>
      </c>
      <c r="K272" s="20"/>
      <c r="L272" s="71"/>
      <c r="M272" s="21"/>
      <c r="N272" s="21" t="s">
        <v>134</v>
      </c>
    </row>
    <row r="273" spans="2:14" ht="15.75">
      <c r="B273" s="24">
        <v>123</v>
      </c>
      <c r="C273" s="8" t="s">
        <v>42</v>
      </c>
      <c r="D273" s="14" t="s">
        <v>50</v>
      </c>
      <c r="E273" s="14" t="s">
        <v>131</v>
      </c>
      <c r="F273" s="34">
        <v>29250</v>
      </c>
      <c r="G273" s="15">
        <v>1</v>
      </c>
      <c r="H273" s="46">
        <f>96352927.6/1000</f>
        <v>96352.927599999995</v>
      </c>
      <c r="I273" s="46">
        <f>22762601.85/1000</f>
        <v>22762.601850000003</v>
      </c>
      <c r="J273" s="46">
        <v>722.64695699999993</v>
      </c>
      <c r="K273" s="20"/>
      <c r="L273" s="71"/>
      <c r="M273" s="21"/>
      <c r="N273" s="21" t="s">
        <v>134</v>
      </c>
    </row>
    <row r="274" spans="2:14" ht="15.75">
      <c r="B274" s="24">
        <v>124</v>
      </c>
      <c r="C274" s="8" t="s">
        <v>42</v>
      </c>
      <c r="D274" s="14" t="s">
        <v>50</v>
      </c>
      <c r="E274" s="14" t="s">
        <v>131</v>
      </c>
      <c r="F274" s="34">
        <v>29250</v>
      </c>
      <c r="G274" s="15">
        <v>1</v>
      </c>
      <c r="H274" s="46">
        <f>192077223.32/1000</f>
        <v>192077.22331999999</v>
      </c>
      <c r="I274" s="46">
        <f>46925885.63/1000</f>
        <v>46925.885630000004</v>
      </c>
      <c r="J274" s="46">
        <v>1440.5791748999998</v>
      </c>
      <c r="K274" s="20"/>
      <c r="L274" s="71"/>
      <c r="M274" s="21"/>
      <c r="N274" s="21" t="s">
        <v>134</v>
      </c>
    </row>
    <row r="275" spans="2:14" ht="15.75">
      <c r="B275" s="24">
        <v>125</v>
      </c>
      <c r="C275" s="8" t="s">
        <v>42</v>
      </c>
      <c r="D275" s="14" t="s">
        <v>50</v>
      </c>
      <c r="E275" s="14" t="s">
        <v>131</v>
      </c>
      <c r="F275" s="34">
        <v>32172</v>
      </c>
      <c r="G275" s="15">
        <v>1</v>
      </c>
      <c r="H275" s="46">
        <f>44452769.52/1000</f>
        <v>44452.769520000002</v>
      </c>
      <c r="I275" s="46">
        <f>13305786.89/1000</f>
        <v>13305.786890000001</v>
      </c>
      <c r="J275" s="46">
        <v>333.3957714</v>
      </c>
      <c r="K275" s="20"/>
      <c r="L275" s="71"/>
      <c r="M275" s="21"/>
      <c r="N275" s="21" t="s">
        <v>134</v>
      </c>
    </row>
    <row r="276" spans="2:14" ht="15.75">
      <c r="B276" s="24">
        <v>126</v>
      </c>
      <c r="C276" s="8" t="s">
        <v>42</v>
      </c>
      <c r="D276" s="14" t="s">
        <v>50</v>
      </c>
      <c r="E276" s="14" t="s">
        <v>131</v>
      </c>
      <c r="F276" s="34">
        <v>32172</v>
      </c>
      <c r="G276" s="15">
        <v>1</v>
      </c>
      <c r="H276" s="46">
        <f>3697602.66/1000</f>
        <v>3697.60266</v>
      </c>
      <c r="I276" s="46">
        <f>137820.32/1000</f>
        <v>137.82032000000001</v>
      </c>
      <c r="J276" s="46">
        <v>27.732019949999998</v>
      </c>
      <c r="K276" s="20"/>
      <c r="L276" s="71"/>
      <c r="M276" s="21"/>
      <c r="N276" s="21" t="s">
        <v>134</v>
      </c>
    </row>
    <row r="277" spans="2:14" ht="15.75">
      <c r="B277" s="24">
        <v>127</v>
      </c>
      <c r="C277" s="8" t="s">
        <v>42</v>
      </c>
      <c r="D277" s="14" t="s">
        <v>50</v>
      </c>
      <c r="E277" s="14" t="s">
        <v>131</v>
      </c>
      <c r="F277" s="34">
        <v>31501</v>
      </c>
      <c r="G277" s="15">
        <v>1</v>
      </c>
      <c r="H277" s="46">
        <f>132708913.58/1000</f>
        <v>132708.91357999999</v>
      </c>
      <c r="I277" s="46">
        <f>35289979.92/1000</f>
        <v>35289.979920000005</v>
      </c>
      <c r="J277" s="46">
        <v>995.31685184999992</v>
      </c>
      <c r="K277" s="20"/>
      <c r="L277" s="71"/>
      <c r="M277" s="21"/>
      <c r="N277" s="21" t="s">
        <v>134</v>
      </c>
    </row>
    <row r="278" spans="2:14" ht="15.75">
      <c r="B278" s="24">
        <v>128</v>
      </c>
      <c r="C278" s="8" t="s">
        <v>42</v>
      </c>
      <c r="D278" s="14" t="s">
        <v>50</v>
      </c>
      <c r="E278" s="14" t="s">
        <v>131</v>
      </c>
      <c r="F278" s="34">
        <v>40359</v>
      </c>
      <c r="G278" s="15">
        <v>1</v>
      </c>
      <c r="H278" s="46">
        <f>877502988.76/1000</f>
        <v>877502.98875999998</v>
      </c>
      <c r="I278" s="46">
        <f>371462933.56/1000</f>
        <v>371462.93355999998</v>
      </c>
      <c r="J278" s="46">
        <v>6581.2724156999993</v>
      </c>
      <c r="K278" s="20"/>
      <c r="L278" s="71"/>
      <c r="M278" s="21"/>
      <c r="N278" s="21" t="s">
        <v>134</v>
      </c>
    </row>
    <row r="279" spans="2:14" ht="15.75">
      <c r="B279" s="24">
        <v>129</v>
      </c>
      <c r="C279" s="8" t="s">
        <v>42</v>
      </c>
      <c r="D279" s="14" t="s">
        <v>50</v>
      </c>
      <c r="E279" s="14" t="s">
        <v>131</v>
      </c>
      <c r="F279" s="34">
        <v>40359</v>
      </c>
      <c r="G279" s="15">
        <v>1</v>
      </c>
      <c r="H279" s="46">
        <f>106417552.98/1000</f>
        <v>106417.55298000001</v>
      </c>
      <c r="I279" s="46">
        <f>45048480.61/1000</f>
        <v>45048.480609999999</v>
      </c>
      <c r="J279" s="46">
        <v>798.13164735000009</v>
      </c>
      <c r="K279" s="20"/>
      <c r="L279" s="71"/>
      <c r="M279" s="21"/>
      <c r="N279" s="21" t="s">
        <v>134</v>
      </c>
    </row>
    <row r="280" spans="2:14" ht="15.75">
      <c r="B280" s="24">
        <v>130</v>
      </c>
      <c r="C280" s="8" t="s">
        <v>42</v>
      </c>
      <c r="D280" s="14" t="s">
        <v>50</v>
      </c>
      <c r="E280" s="14" t="s">
        <v>131</v>
      </c>
      <c r="F280" s="34">
        <v>40542</v>
      </c>
      <c r="G280" s="15">
        <v>1</v>
      </c>
      <c r="H280" s="46">
        <f>575851295.39/1000</f>
        <v>575851.29538999998</v>
      </c>
      <c r="I280" s="46">
        <f>242912951.7/1000</f>
        <v>242912.95169999998</v>
      </c>
      <c r="J280" s="46">
        <v>4318.8847154249997</v>
      </c>
      <c r="K280" s="20"/>
      <c r="L280" s="71"/>
      <c r="M280" s="21"/>
      <c r="N280" s="21" t="s">
        <v>134</v>
      </c>
    </row>
    <row r="281" spans="2:14" ht="15.75">
      <c r="B281" s="24">
        <v>131</v>
      </c>
      <c r="C281" s="8" t="s">
        <v>42</v>
      </c>
      <c r="D281" s="14" t="s">
        <v>50</v>
      </c>
      <c r="E281" s="14" t="s">
        <v>131</v>
      </c>
      <c r="F281" s="34">
        <v>40542</v>
      </c>
      <c r="G281" s="15">
        <v>1</v>
      </c>
      <c r="H281" s="46">
        <f>168648149.53/1000</f>
        <v>168648.14953</v>
      </c>
      <c r="I281" s="46">
        <f>71141317.37/1000</f>
        <v>71141.317370000004</v>
      </c>
      <c r="J281" s="46">
        <v>1264.8611214749999</v>
      </c>
      <c r="K281" s="20"/>
      <c r="L281" s="71"/>
      <c r="M281" s="21"/>
      <c r="N281" s="21" t="s">
        <v>134</v>
      </c>
    </row>
    <row r="282" spans="2:14" ht="15.75">
      <c r="B282" s="24">
        <v>132</v>
      </c>
      <c r="C282" s="8" t="s">
        <v>42</v>
      </c>
      <c r="D282" s="14" t="s">
        <v>50</v>
      </c>
      <c r="E282" s="14" t="s">
        <v>131</v>
      </c>
      <c r="F282" s="34">
        <v>40542</v>
      </c>
      <c r="G282" s="15">
        <v>1</v>
      </c>
      <c r="H282" s="46">
        <f>370145419.99/1000</f>
        <v>370145.41999000002</v>
      </c>
      <c r="I282" s="46">
        <f>156139470.85/1000</f>
        <v>156139.47084999998</v>
      </c>
      <c r="J282" s="46">
        <v>2776.090649925</v>
      </c>
      <c r="K282" s="20"/>
      <c r="L282" s="71"/>
      <c r="M282" s="21"/>
      <c r="N282" s="21" t="s">
        <v>134</v>
      </c>
    </row>
    <row r="283" spans="2:14" ht="15.75">
      <c r="B283" s="24">
        <v>133</v>
      </c>
      <c r="C283" s="8" t="s">
        <v>42</v>
      </c>
      <c r="D283" s="14" t="s">
        <v>50</v>
      </c>
      <c r="E283" s="14" t="s">
        <v>131</v>
      </c>
      <c r="F283" s="34">
        <v>40542</v>
      </c>
      <c r="G283" s="15">
        <v>1</v>
      </c>
      <c r="H283" s="46">
        <f>167477829.58/1000</f>
        <v>167477.82958000002</v>
      </c>
      <c r="I283" s="46">
        <f>70647638.12/1000</f>
        <v>70647.638120000003</v>
      </c>
      <c r="J283" s="46">
        <v>1256.0837218500001</v>
      </c>
      <c r="K283" s="20"/>
      <c r="L283" s="71"/>
      <c r="M283" s="21"/>
      <c r="N283" s="21" t="s">
        <v>134</v>
      </c>
    </row>
    <row r="284" spans="2:14" ht="15.75">
      <c r="B284" s="24">
        <v>134</v>
      </c>
      <c r="C284" s="8" t="s">
        <v>42</v>
      </c>
      <c r="D284" s="14" t="s">
        <v>50</v>
      </c>
      <c r="E284" s="14" t="s">
        <v>131</v>
      </c>
      <c r="F284" s="34">
        <v>40633</v>
      </c>
      <c r="G284" s="15">
        <v>1</v>
      </c>
      <c r="H284" s="46">
        <f>1628634381.76/1000</f>
        <v>1628634.38176</v>
      </c>
      <c r="I284" s="46">
        <f>784815857.02/1000</f>
        <v>784815.85702</v>
      </c>
      <c r="J284" s="46">
        <v>12214.7578632</v>
      </c>
      <c r="K284" s="20"/>
      <c r="L284" s="71"/>
      <c r="M284" s="21"/>
      <c r="N284" s="21" t="s">
        <v>134</v>
      </c>
    </row>
    <row r="285" spans="2:14" s="68" customFormat="1" ht="18" customHeight="1">
      <c r="B285" s="24">
        <v>134</v>
      </c>
      <c r="C285" s="8" t="s">
        <v>42</v>
      </c>
      <c r="D285" s="14" t="s">
        <v>135</v>
      </c>
      <c r="E285" s="14" t="s">
        <v>136</v>
      </c>
      <c r="F285" s="34">
        <v>32264</v>
      </c>
      <c r="G285" s="15">
        <v>17</v>
      </c>
      <c r="H285" s="46">
        <v>1771552</v>
      </c>
      <c r="I285" s="46">
        <v>343216</v>
      </c>
      <c r="J285" s="46">
        <v>13286.64</v>
      </c>
      <c r="K285" s="20"/>
      <c r="L285" s="71"/>
      <c r="M285" s="69"/>
      <c r="N285" s="70" t="s">
        <v>137</v>
      </c>
    </row>
    <row r="286" spans="2:14" s="12" customFormat="1" ht="15.75" customHeight="1">
      <c r="B286" s="85" t="s">
        <v>18</v>
      </c>
      <c r="C286" s="85"/>
      <c r="D286" s="85"/>
      <c r="E286" s="85"/>
      <c r="F286" s="85"/>
      <c r="G286" s="19"/>
      <c r="H286" s="25">
        <f>SUM(H151:H285)</f>
        <v>57209176.321669996</v>
      </c>
      <c r="I286" s="25">
        <f t="shared" ref="I286:J286" si="1">SUM(I151:I285)</f>
        <v>16935854.831199996</v>
      </c>
      <c r="J286" s="25">
        <f t="shared" si="1"/>
        <v>2756419.1713907425</v>
      </c>
      <c r="K286" s="19"/>
      <c r="L286" s="19"/>
      <c r="M286" s="19"/>
      <c r="N286" s="19"/>
    </row>
    <row r="287" spans="2:14" ht="15" customHeight="1">
      <c r="B287" s="82" t="s">
        <v>139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4"/>
      <c r="N287" s="7"/>
    </row>
    <row r="288" spans="2:14" s="12" customFormat="1" ht="18" customHeight="1">
      <c r="B288" s="24"/>
      <c r="C288" s="8"/>
      <c r="D288" s="13"/>
      <c r="E288" s="13"/>
      <c r="F288" s="14"/>
      <c r="G288" s="15"/>
      <c r="H288" s="16"/>
      <c r="I288" s="16"/>
      <c r="J288" s="16"/>
      <c r="K288" s="20"/>
      <c r="L288" s="17"/>
      <c r="M288" s="17"/>
      <c r="N288" s="13"/>
    </row>
    <row r="289" spans="2:14" s="12" customFormat="1" ht="18" customHeight="1">
      <c r="B289" s="24"/>
      <c r="C289" s="13"/>
      <c r="D289" s="13"/>
      <c r="E289" s="13"/>
      <c r="F289" s="14"/>
      <c r="G289" s="15"/>
      <c r="H289" s="16"/>
      <c r="I289" s="16"/>
      <c r="J289" s="16"/>
      <c r="K289" s="20"/>
      <c r="L289" s="17"/>
      <c r="M289" s="17"/>
      <c r="N289" s="13"/>
    </row>
    <row r="290" spans="2:14" s="12" customFormat="1" ht="15.75" customHeight="1">
      <c r="B290" s="85" t="s">
        <v>18</v>
      </c>
      <c r="C290" s="85"/>
      <c r="D290" s="85"/>
      <c r="E290" s="85"/>
      <c r="F290" s="85"/>
      <c r="G290" s="19"/>
      <c r="H290" s="25">
        <f>SUBTOTAL(9,H288:H289)</f>
        <v>0</v>
      </c>
      <c r="I290" s="25">
        <f>SUBTOTAL(9,I288:I289)</f>
        <v>0</v>
      </c>
      <c r="J290" s="25">
        <f>SUBTOTAL(9,J288:J289)</f>
        <v>0</v>
      </c>
      <c r="K290" s="19"/>
      <c r="L290" s="19"/>
      <c r="M290" s="19"/>
      <c r="N290" s="19"/>
    </row>
    <row r="291" spans="2:14" ht="15" customHeight="1">
      <c r="B291" s="82" t="s">
        <v>140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4"/>
      <c r="N291" s="7"/>
    </row>
    <row r="292" spans="2:14" s="12" customFormat="1" ht="18" customHeight="1">
      <c r="B292" s="24"/>
      <c r="C292" s="8"/>
      <c r="D292" s="13"/>
      <c r="E292" s="13"/>
      <c r="F292" s="14"/>
      <c r="G292" s="15"/>
      <c r="H292" s="16"/>
      <c r="I292" s="16"/>
      <c r="J292" s="16"/>
      <c r="K292" s="20"/>
      <c r="L292" s="17"/>
      <c r="M292" s="17"/>
      <c r="N292" s="13"/>
    </row>
    <row r="293" spans="2:14" s="12" customFormat="1" ht="18" customHeight="1">
      <c r="B293" s="24"/>
      <c r="C293" s="13"/>
      <c r="D293" s="13"/>
      <c r="E293" s="13"/>
      <c r="F293" s="14"/>
      <c r="G293" s="15"/>
      <c r="H293" s="16"/>
      <c r="I293" s="16"/>
      <c r="J293" s="16"/>
      <c r="K293" s="20"/>
      <c r="L293" s="17"/>
      <c r="M293" s="17"/>
      <c r="N293" s="13"/>
    </row>
    <row r="294" spans="2:14" s="12" customFormat="1" ht="15.75" customHeight="1">
      <c r="B294" s="85" t="s">
        <v>18</v>
      </c>
      <c r="C294" s="85"/>
      <c r="D294" s="85"/>
      <c r="E294" s="85"/>
      <c r="F294" s="85"/>
      <c r="G294" s="19"/>
      <c r="H294" s="25">
        <f>SUBTOTAL(9,H292:H293)</f>
        <v>0</v>
      </c>
      <c r="I294" s="25">
        <f>SUBTOTAL(9,I292:I293)</f>
        <v>0</v>
      </c>
      <c r="J294" s="25">
        <f>SUBTOTAL(9,J292:J293)</f>
        <v>0</v>
      </c>
      <c r="K294" s="19"/>
      <c r="L294" s="19"/>
      <c r="M294" s="19"/>
      <c r="N294" s="19"/>
    </row>
    <row r="295" spans="2:14" s="12" customFormat="1" ht="15.75" customHeight="1">
      <c r="B295" s="85" t="s">
        <v>19</v>
      </c>
      <c r="C295" s="85"/>
      <c r="D295" s="85"/>
      <c r="E295" s="85"/>
      <c r="F295" s="85"/>
      <c r="G295" s="19"/>
      <c r="H295" s="25">
        <f>H149</f>
        <v>57209176.321669996</v>
      </c>
      <c r="I295" s="25">
        <f t="shared" ref="I295" si="2">I149</f>
        <v>16935854.831199996</v>
      </c>
      <c r="J295" s="26">
        <f>J149</f>
        <v>13714217.317894617</v>
      </c>
      <c r="K295" s="19"/>
      <c r="L295" s="19"/>
      <c r="M295" s="19"/>
      <c r="N295" s="19"/>
    </row>
    <row r="296" spans="2:14" s="12" customFormat="1">
      <c r="K296" s="18"/>
      <c r="L296" s="18"/>
      <c r="M296" s="18"/>
      <c r="N296" s="18"/>
    </row>
  </sheetData>
  <autoFilter ref="A11:N295"/>
  <mergeCells count="26">
    <mergeCell ref="B13:M13"/>
    <mergeCell ref="B149:F149"/>
    <mergeCell ref="B295:F295"/>
    <mergeCell ref="F9:F11"/>
    <mergeCell ref="B9:B11"/>
    <mergeCell ref="C9:C11"/>
    <mergeCell ref="D9:D11"/>
    <mergeCell ref="E9:E11"/>
    <mergeCell ref="K9:K11"/>
    <mergeCell ref="L9:M10"/>
    <mergeCell ref="B150:M150"/>
    <mergeCell ref="B286:F286"/>
    <mergeCell ref="B287:M287"/>
    <mergeCell ref="B290:F290"/>
    <mergeCell ref="B291:M291"/>
    <mergeCell ref="B294:F294"/>
    <mergeCell ref="N9:N11"/>
    <mergeCell ref="A6:N6"/>
    <mergeCell ref="A7:N7"/>
    <mergeCell ref="A3:N3"/>
    <mergeCell ref="A4:N4"/>
    <mergeCell ref="A5:N5"/>
    <mergeCell ref="G10:G11"/>
    <mergeCell ref="H10:H11"/>
    <mergeCell ref="I10:I11"/>
    <mergeCell ref="J10:J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tabSelected="1" topLeftCell="A31" zoomScale="118" zoomScaleNormal="118" workbookViewId="0">
      <selection activeCell="J38" sqref="J38"/>
    </sheetView>
  </sheetViews>
  <sheetFormatPr defaultRowHeight="15"/>
  <cols>
    <col min="2" max="2" width="6.7109375" customWidth="1"/>
    <col min="3" max="12" width="15.28515625" customWidth="1"/>
    <col min="13" max="13" width="16.5703125" customWidth="1"/>
  </cols>
  <sheetData>
    <row r="3" spans="1:13" ht="1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>
      <c r="A4" s="77" t="s">
        <v>28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5.75" customHeight="1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5.75" customHeight="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15.75" customHeight="1">
      <c r="A7" s="9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5.75" customHeight="1">
      <c r="A8" s="1" t="s">
        <v>144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72.75" customHeight="1">
      <c r="B9" s="90" t="s">
        <v>1</v>
      </c>
      <c r="C9" s="90" t="s">
        <v>20</v>
      </c>
      <c r="D9" s="90" t="s">
        <v>21</v>
      </c>
      <c r="E9" s="90" t="s">
        <v>22</v>
      </c>
      <c r="F9" s="90" t="s">
        <v>8</v>
      </c>
      <c r="G9" s="2" t="s">
        <v>9</v>
      </c>
      <c r="H9" s="2" t="s">
        <v>23</v>
      </c>
      <c r="I9" s="3" t="s">
        <v>15</v>
      </c>
      <c r="J9" s="90" t="s">
        <v>24</v>
      </c>
      <c r="K9" s="90" t="s">
        <v>25</v>
      </c>
      <c r="L9" s="90"/>
      <c r="M9" s="90" t="s">
        <v>4</v>
      </c>
    </row>
    <row r="10" spans="1:13" ht="51">
      <c r="B10" s="90"/>
      <c r="C10" s="90"/>
      <c r="D10" s="90"/>
      <c r="E10" s="90"/>
      <c r="F10" s="90"/>
      <c r="G10" s="4" t="s">
        <v>10</v>
      </c>
      <c r="H10" s="5" t="s">
        <v>12</v>
      </c>
      <c r="I10" s="5" t="s">
        <v>12</v>
      </c>
      <c r="J10" s="90"/>
      <c r="K10" s="5" t="s">
        <v>26</v>
      </c>
      <c r="L10" s="5" t="s">
        <v>27</v>
      </c>
      <c r="M10" s="90"/>
    </row>
    <row r="11" spans="1:13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  <c r="M11" s="6">
        <v>12</v>
      </c>
    </row>
    <row r="12" spans="1:13" ht="15.75" customHeight="1">
      <c r="B12" s="91" t="s">
        <v>141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1:13" ht="15.75" customHeight="1">
      <c r="B13" s="18">
        <v>1</v>
      </c>
      <c r="C13" s="32" t="s">
        <v>75</v>
      </c>
      <c r="D13" s="21" t="s">
        <v>76</v>
      </c>
      <c r="E13" s="27">
        <v>2025</v>
      </c>
      <c r="F13" s="63">
        <v>45988</v>
      </c>
      <c r="G13" s="62">
        <v>1</v>
      </c>
      <c r="H13" s="64">
        <v>447801</v>
      </c>
      <c r="I13" s="64">
        <v>17810.310000000001</v>
      </c>
      <c r="J13" s="20"/>
      <c r="K13" s="20">
        <v>2328</v>
      </c>
      <c r="L13" s="64">
        <v>5205</v>
      </c>
      <c r="M13" s="13" t="s">
        <v>68</v>
      </c>
    </row>
    <row r="14" spans="1:13" ht="30.75" customHeight="1">
      <c r="B14" s="18">
        <v>2</v>
      </c>
      <c r="C14" s="32" t="s">
        <v>77</v>
      </c>
      <c r="D14" s="32" t="s">
        <v>78</v>
      </c>
      <c r="E14" s="32">
        <v>2025</v>
      </c>
      <c r="F14" s="63">
        <v>45841</v>
      </c>
      <c r="G14" s="62">
        <v>1</v>
      </c>
      <c r="H14" s="64">
        <v>258403</v>
      </c>
      <c r="I14" s="20">
        <v>20414</v>
      </c>
      <c r="J14" s="20">
        <v>770</v>
      </c>
      <c r="K14" s="66">
        <v>29921</v>
      </c>
      <c r="L14" s="20">
        <v>37182</v>
      </c>
      <c r="M14" s="13" t="s">
        <v>68</v>
      </c>
    </row>
    <row r="15" spans="1:13" ht="21.75" customHeight="1">
      <c r="B15" s="18">
        <v>3</v>
      </c>
      <c r="C15" s="32" t="s">
        <v>79</v>
      </c>
      <c r="D15" s="21" t="s">
        <v>80</v>
      </c>
      <c r="E15" s="27">
        <v>2025</v>
      </c>
      <c r="F15" s="63">
        <v>46063</v>
      </c>
      <c r="G15" s="62">
        <v>1</v>
      </c>
      <c r="H15" s="64">
        <v>197638</v>
      </c>
      <c r="I15" s="64">
        <v>13677.98</v>
      </c>
      <c r="J15" s="20"/>
      <c r="K15" s="20">
        <v>15070</v>
      </c>
      <c r="L15" s="64">
        <v>19135</v>
      </c>
      <c r="M15" s="13" t="s">
        <v>68</v>
      </c>
    </row>
    <row r="16" spans="1:13" ht="27.75" customHeight="1">
      <c r="B16" s="18">
        <v>4</v>
      </c>
      <c r="C16" s="32" t="s">
        <v>81</v>
      </c>
      <c r="D16" s="32" t="s">
        <v>82</v>
      </c>
      <c r="E16" s="32">
        <v>2025</v>
      </c>
      <c r="F16" s="63">
        <v>45841</v>
      </c>
      <c r="G16" s="62">
        <v>1</v>
      </c>
      <c r="H16" s="64">
        <v>197638</v>
      </c>
      <c r="I16" s="20">
        <v>15602.11</v>
      </c>
      <c r="J16" s="20">
        <v>1175.49</v>
      </c>
      <c r="K16" s="66">
        <v>21964</v>
      </c>
      <c r="L16" s="20">
        <v>28968</v>
      </c>
      <c r="M16" s="13" t="s">
        <v>68</v>
      </c>
    </row>
    <row r="17" spans="2:13" s="12" customFormat="1" ht="23.25" customHeight="1">
      <c r="B17" s="18">
        <v>5</v>
      </c>
      <c r="C17" s="21" t="s">
        <v>124</v>
      </c>
      <c r="D17" s="27" t="s">
        <v>125</v>
      </c>
      <c r="E17" s="62" t="s">
        <v>126</v>
      </c>
      <c r="F17" s="63">
        <v>45971</v>
      </c>
      <c r="G17" s="32">
        <v>1</v>
      </c>
      <c r="H17" s="64">
        <v>384389</v>
      </c>
      <c r="I17" s="20">
        <v>11530</v>
      </c>
      <c r="J17" s="20">
        <v>778</v>
      </c>
      <c r="K17" s="64">
        <v>18267</v>
      </c>
      <c r="L17" s="64">
        <v>32714</v>
      </c>
      <c r="M17" s="18" t="s">
        <v>33</v>
      </c>
    </row>
    <row r="18" spans="2:13" s="12" customFormat="1" ht="15.75" customHeight="1">
      <c r="B18" s="18">
        <v>6</v>
      </c>
      <c r="C18" s="32" t="s">
        <v>127</v>
      </c>
      <c r="D18" s="32" t="s">
        <v>128</v>
      </c>
      <c r="E18" s="62" t="s">
        <v>129</v>
      </c>
      <c r="F18" s="62" t="s">
        <v>130</v>
      </c>
      <c r="G18" s="32">
        <v>1</v>
      </c>
      <c r="H18" s="20">
        <v>274002</v>
      </c>
      <c r="I18" s="20">
        <v>6838</v>
      </c>
      <c r="J18" s="65">
        <v>14150</v>
      </c>
      <c r="K18" s="20">
        <v>14023</v>
      </c>
      <c r="L18" s="64">
        <v>128505</v>
      </c>
      <c r="M18" s="18" t="s">
        <v>33</v>
      </c>
    </row>
    <row r="19" spans="2:13" ht="15.75" customHeight="1">
      <c r="B19" s="92" t="s">
        <v>18</v>
      </c>
      <c r="C19" s="92"/>
      <c r="D19" s="92"/>
      <c r="E19" s="92"/>
      <c r="F19" s="92"/>
      <c r="G19" s="6"/>
      <c r="H19" s="9">
        <f>SUM(H13:H18)</f>
        <v>1759871</v>
      </c>
      <c r="I19" s="9">
        <f t="shared" ref="I19:J19" si="0">SUM(I13:I18)</f>
        <v>85872.4</v>
      </c>
      <c r="J19" s="9">
        <f t="shared" si="0"/>
        <v>16873.489999999998</v>
      </c>
      <c r="K19" s="9"/>
      <c r="L19" s="9"/>
      <c r="M19" s="6"/>
    </row>
    <row r="20" spans="2:13" ht="15.75" customHeight="1">
      <c r="B20" s="91" t="s">
        <v>142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2:13" ht="15.75" customHeight="1">
      <c r="B21" s="18">
        <v>1</v>
      </c>
      <c r="C21" s="32" t="s">
        <v>75</v>
      </c>
      <c r="D21" s="21" t="s">
        <v>76</v>
      </c>
      <c r="E21" s="27">
        <v>2025</v>
      </c>
      <c r="F21" s="63">
        <v>45988</v>
      </c>
      <c r="G21" s="62">
        <v>1</v>
      </c>
      <c r="H21" s="72">
        <v>447801.73358</v>
      </c>
      <c r="I21" s="64">
        <v>31244.357980000001</v>
      </c>
      <c r="J21" s="20"/>
      <c r="K21" s="20">
        <v>5738</v>
      </c>
      <c r="L21" s="64">
        <v>10943</v>
      </c>
      <c r="M21" s="13" t="s">
        <v>68</v>
      </c>
    </row>
    <row r="22" spans="2:13" ht="30.75" customHeight="1">
      <c r="B22" s="18">
        <v>2</v>
      </c>
      <c r="C22" s="32" t="s">
        <v>77</v>
      </c>
      <c r="D22" s="32" t="s">
        <v>78</v>
      </c>
      <c r="E22" s="32">
        <v>2025</v>
      </c>
      <c r="F22" s="63">
        <v>45841</v>
      </c>
      <c r="G22" s="62">
        <v>1</v>
      </c>
      <c r="H22" s="72">
        <v>258403.54</v>
      </c>
      <c r="I22" s="20">
        <v>28166.187279999998</v>
      </c>
      <c r="J22" s="20">
        <v>2675</v>
      </c>
      <c r="K22" s="66">
        <v>14067</v>
      </c>
      <c r="L22" s="20">
        <v>51249</v>
      </c>
      <c r="M22" s="13" t="s">
        <v>68</v>
      </c>
    </row>
    <row r="23" spans="2:13" ht="21.75" customHeight="1">
      <c r="B23" s="18">
        <v>3</v>
      </c>
      <c r="C23" s="32" t="s">
        <v>79</v>
      </c>
      <c r="D23" s="21" t="s">
        <v>80</v>
      </c>
      <c r="E23" s="27">
        <v>2025</v>
      </c>
      <c r="F23" s="63">
        <v>46063</v>
      </c>
      <c r="G23" s="62">
        <v>1</v>
      </c>
      <c r="H23" s="72">
        <v>197638.82</v>
      </c>
      <c r="I23" s="64">
        <v>19607.14199</v>
      </c>
      <c r="J23" s="20"/>
      <c r="K23" s="20">
        <v>9512</v>
      </c>
      <c r="L23" s="64">
        <v>28647</v>
      </c>
      <c r="M23" s="13" t="s">
        <v>68</v>
      </c>
    </row>
    <row r="24" spans="2:13" ht="27.75" customHeight="1">
      <c r="B24" s="18">
        <v>4</v>
      </c>
      <c r="C24" s="32" t="s">
        <v>81</v>
      </c>
      <c r="D24" s="32" t="s">
        <v>82</v>
      </c>
      <c r="E24" s="32">
        <v>2025</v>
      </c>
      <c r="F24" s="63">
        <v>45841</v>
      </c>
      <c r="G24" s="62">
        <v>1</v>
      </c>
      <c r="H24" s="72">
        <v>197638.82</v>
      </c>
      <c r="I24" s="20">
        <v>21531.283589999999</v>
      </c>
      <c r="J24" s="20">
        <v>1964.2857100000001</v>
      </c>
      <c r="K24" s="66">
        <v>8375</v>
      </c>
      <c r="L24" s="20">
        <v>37343</v>
      </c>
      <c r="M24" s="13" t="s">
        <v>68</v>
      </c>
    </row>
    <row r="25" spans="2:13" s="12" customFormat="1" ht="23.25" customHeight="1">
      <c r="B25" s="18">
        <v>5</v>
      </c>
      <c r="C25" s="21" t="s">
        <v>124</v>
      </c>
      <c r="D25" s="27" t="s">
        <v>125</v>
      </c>
      <c r="E25" s="62" t="s">
        <v>126</v>
      </c>
      <c r="F25" s="63">
        <v>45971</v>
      </c>
      <c r="G25" s="32">
        <v>1</v>
      </c>
      <c r="H25" s="64">
        <v>384389</v>
      </c>
      <c r="I25" s="20">
        <v>11530</v>
      </c>
      <c r="J25" s="20"/>
      <c r="K25" s="64">
        <v>18367</v>
      </c>
      <c r="L25" s="64">
        <f>L17+K25</f>
        <v>51081</v>
      </c>
      <c r="M25" s="18" t="s">
        <v>33</v>
      </c>
    </row>
    <row r="26" spans="2:13" s="12" customFormat="1" ht="15.75" customHeight="1">
      <c r="B26" s="18">
        <v>6</v>
      </c>
      <c r="C26" s="32" t="s">
        <v>127</v>
      </c>
      <c r="D26" s="32" t="s">
        <v>128</v>
      </c>
      <c r="E26" s="62" t="s">
        <v>129</v>
      </c>
      <c r="F26" s="62" t="s">
        <v>130</v>
      </c>
      <c r="G26" s="32">
        <v>1</v>
      </c>
      <c r="H26" s="20">
        <v>274002</v>
      </c>
      <c r="I26" s="20">
        <v>6838</v>
      </c>
      <c r="J26" s="65"/>
      <c r="K26" s="20">
        <v>14123</v>
      </c>
      <c r="L26" s="64">
        <f>L18+K26</f>
        <v>142628</v>
      </c>
      <c r="M26" s="18" t="s">
        <v>33</v>
      </c>
    </row>
    <row r="27" spans="2:13" ht="15.75" customHeight="1">
      <c r="B27" s="92" t="s">
        <v>18</v>
      </c>
      <c r="C27" s="92"/>
      <c r="D27" s="92"/>
      <c r="E27" s="92"/>
      <c r="F27" s="92"/>
      <c r="G27" s="6"/>
      <c r="H27" s="9">
        <f>SUM(H21:H26)</f>
        <v>1759873.9135800002</v>
      </c>
      <c r="I27" s="9">
        <f t="shared" ref="I27:J27" si="1">SUM(I21:I26)</f>
        <v>118916.97083999999</v>
      </c>
      <c r="J27" s="9">
        <f t="shared" si="1"/>
        <v>4639.2857100000001</v>
      </c>
      <c r="K27" s="9"/>
      <c r="L27" s="9"/>
      <c r="M27" s="6"/>
    </row>
    <row r="28" spans="2:13" ht="15.75" customHeight="1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2:13" ht="15.75" customHeight="1">
      <c r="B29" s="21"/>
      <c r="C29" s="21"/>
      <c r="D29" s="21"/>
      <c r="E29" s="23"/>
      <c r="F29" s="23"/>
      <c r="G29" s="21"/>
      <c r="H29" s="22"/>
      <c r="I29" s="22"/>
      <c r="J29" s="22"/>
      <c r="K29" s="27"/>
      <c r="L29" s="27"/>
      <c r="M29" s="21"/>
    </row>
    <row r="30" spans="2:13" ht="15.75" customHeight="1">
      <c r="B30" s="21"/>
      <c r="C30" s="28"/>
      <c r="D30" s="27"/>
      <c r="E30" s="29"/>
      <c r="F30" s="29"/>
      <c r="G30" s="21"/>
      <c r="H30" s="30"/>
      <c r="I30" s="22"/>
      <c r="J30" s="22"/>
      <c r="K30" s="27"/>
      <c r="L30" s="27"/>
      <c r="M30" s="21"/>
    </row>
    <row r="31" spans="2:13" ht="15.75" customHeight="1">
      <c r="B31" s="21"/>
      <c r="C31" s="21"/>
      <c r="D31" s="21"/>
      <c r="E31" s="23"/>
      <c r="F31" s="23"/>
      <c r="G31" s="21"/>
      <c r="H31" s="22"/>
      <c r="I31" s="22"/>
      <c r="J31" s="22"/>
      <c r="K31" s="27"/>
      <c r="L31" s="27"/>
      <c r="M31" s="21"/>
    </row>
    <row r="32" spans="2:13" ht="15.75" customHeight="1">
      <c r="B32" s="92"/>
      <c r="C32" s="92"/>
      <c r="D32" s="92"/>
      <c r="E32" s="92"/>
      <c r="F32" s="92"/>
      <c r="G32" s="6"/>
      <c r="H32" s="9"/>
      <c r="I32" s="9"/>
      <c r="J32" s="9"/>
      <c r="K32" s="9"/>
      <c r="L32" s="9"/>
      <c r="M32" s="6"/>
    </row>
    <row r="33" spans="2:13" ht="15.75" customHeight="1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2:13" ht="15.75" customHeight="1">
      <c r="B34" s="21"/>
      <c r="C34" s="21"/>
      <c r="D34" s="21"/>
      <c r="E34" s="23"/>
      <c r="F34" s="23"/>
      <c r="G34" s="21"/>
      <c r="H34" s="22"/>
      <c r="I34" s="22"/>
      <c r="J34" s="22"/>
      <c r="K34" s="27"/>
      <c r="L34" s="27"/>
      <c r="M34" s="21"/>
    </row>
    <row r="35" spans="2:13" ht="15.75" customHeight="1">
      <c r="B35" s="21"/>
      <c r="C35" s="28"/>
      <c r="D35" s="27"/>
      <c r="E35" s="29"/>
      <c r="F35" s="29"/>
      <c r="G35" s="21"/>
      <c r="H35" s="30"/>
      <c r="I35" s="22"/>
      <c r="J35" s="22"/>
      <c r="K35" s="27"/>
      <c r="L35" s="27"/>
      <c r="M35" s="21"/>
    </row>
    <row r="36" spans="2:13" ht="15.75" customHeight="1">
      <c r="B36" s="21"/>
      <c r="C36" s="21"/>
      <c r="D36" s="21"/>
      <c r="E36" s="23"/>
      <c r="F36" s="23"/>
      <c r="G36" s="21"/>
      <c r="H36" s="22"/>
      <c r="I36" s="22"/>
      <c r="J36" s="22"/>
      <c r="K36" s="27"/>
      <c r="L36" s="27"/>
      <c r="M36" s="21"/>
    </row>
    <row r="37" spans="2:13" ht="15.75" customHeight="1">
      <c r="B37" s="92"/>
      <c r="C37" s="92"/>
      <c r="D37" s="92"/>
      <c r="E37" s="92"/>
      <c r="F37" s="92"/>
      <c r="G37" s="6"/>
      <c r="H37" s="9"/>
      <c r="I37" s="9"/>
      <c r="J37" s="9"/>
      <c r="K37" s="9"/>
      <c r="L37" s="9"/>
      <c r="M37" s="6"/>
    </row>
    <row r="38" spans="2:13" ht="15.75" customHeight="1">
      <c r="B38" s="92"/>
      <c r="C38" s="92"/>
      <c r="D38" s="92"/>
      <c r="E38" s="92"/>
      <c r="F38" s="92"/>
      <c r="G38" s="6"/>
      <c r="H38" s="9"/>
      <c r="I38" s="9"/>
      <c r="J38" s="9"/>
      <c r="K38" s="9"/>
      <c r="L38" s="9"/>
      <c r="M38" s="6"/>
    </row>
  </sheetData>
  <mergeCells count="22">
    <mergeCell ref="B12:M12"/>
    <mergeCell ref="A6:M6"/>
    <mergeCell ref="A7:M7"/>
    <mergeCell ref="B19:F19"/>
    <mergeCell ref="B38:F38"/>
    <mergeCell ref="B9:B10"/>
    <mergeCell ref="C9:C10"/>
    <mergeCell ref="D9:D10"/>
    <mergeCell ref="E9:E10"/>
    <mergeCell ref="B20:M20"/>
    <mergeCell ref="B27:F27"/>
    <mergeCell ref="B28:M28"/>
    <mergeCell ref="B32:F32"/>
    <mergeCell ref="B33:M33"/>
    <mergeCell ref="B37:F37"/>
    <mergeCell ref="A3:M3"/>
    <mergeCell ref="A4:M4"/>
    <mergeCell ref="A5:M5"/>
    <mergeCell ref="F9:F10"/>
    <mergeCell ref="J9:J10"/>
    <mergeCell ref="K9:L9"/>
    <mergeCell ref="M9:M10"/>
  </mergeCells>
  <phoneticPr fontId="30" type="noConversion"/>
  <pageMargins left="0.7" right="0.7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topLeftCell="A4" workbookViewId="0">
      <selection activeCell="D16" sqref="D16"/>
    </sheetView>
  </sheetViews>
  <sheetFormatPr defaultRowHeight="15"/>
  <cols>
    <col min="2" max="2" width="25.7109375" customWidth="1"/>
    <col min="3" max="3" width="18.42578125" customWidth="1"/>
    <col min="4" max="4" width="30.7109375" customWidth="1"/>
  </cols>
  <sheetData>
    <row r="5" spans="2:4" s="10" customFormat="1" ht="51" customHeight="1">
      <c r="B5" s="93" t="s">
        <v>143</v>
      </c>
      <c r="C5" s="93"/>
      <c r="D5" s="93"/>
    </row>
    <row r="6" spans="2:4" s="10" customFormat="1" ht="13.15" customHeight="1">
      <c r="B6" s="94" t="s">
        <v>121</v>
      </c>
      <c r="C6" s="94" t="s">
        <v>122</v>
      </c>
      <c r="D6" s="94" t="s">
        <v>123</v>
      </c>
    </row>
    <row r="7" spans="2:4" s="10" customFormat="1" ht="52.15" customHeight="1">
      <c r="B7" s="95"/>
      <c r="C7" s="95"/>
      <c r="D7" s="95"/>
    </row>
    <row r="8" spans="2:4" s="12" customFormat="1" ht="31.5">
      <c r="B8" s="56" t="s">
        <v>117</v>
      </c>
      <c r="C8" s="57">
        <v>43466</v>
      </c>
      <c r="D8" s="58">
        <f>303080355/1000</f>
        <v>303080.35499999998</v>
      </c>
    </row>
    <row r="9" spans="2:4" s="12" customFormat="1" ht="15.75">
      <c r="B9" s="56" t="s">
        <v>118</v>
      </c>
      <c r="C9" s="59">
        <v>43466</v>
      </c>
      <c r="D9" s="58">
        <f>93536291/1000</f>
        <v>93536.290999999997</v>
      </c>
    </row>
    <row r="10" spans="2:4" s="12" customFormat="1" ht="15.75">
      <c r="B10" s="56" t="s">
        <v>119</v>
      </c>
      <c r="C10" s="59">
        <v>43466</v>
      </c>
      <c r="D10" s="58">
        <f>207353762.61/1000</f>
        <v>207353.76261000001</v>
      </c>
    </row>
    <row r="11" spans="2:4" s="11" customFormat="1" ht="24.75" customHeight="1">
      <c r="B11" s="96" t="s">
        <v>120</v>
      </c>
      <c r="C11" s="97"/>
      <c r="D11" s="60">
        <f>SUM(D8:D10)</f>
        <v>603970.40860999993</v>
      </c>
    </row>
  </sheetData>
  <mergeCells count="5">
    <mergeCell ref="B5:D5"/>
    <mergeCell ref="B6:B7"/>
    <mergeCell ref="C6:C7"/>
    <mergeCell ref="D6:D7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мулк</vt:lpstr>
      <vt:lpstr>авто</vt:lpstr>
      <vt:lpstr>курилиши тугалланмаган</vt:lpstr>
      <vt:lpstr>авто!_Hlk112447305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2026-07-08T06:53:03Z</dcterms:modified>
</cp:coreProperties>
</file>